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960" tabRatio="608" activeTab="0"/>
  </bookViews>
  <sheets>
    <sheet name="Summary" sheetId="1" r:id="rId1"/>
    <sheet name="WMT009 Detail" sheetId="2" r:id="rId2"/>
    <sheet name="WMT004 Detail" sheetId="3" r:id="rId3"/>
    <sheet name="WMT012 Detail" sheetId="4" r:id="rId4"/>
    <sheet name="C-Variables" sheetId="5" r:id="rId5"/>
  </sheets>
  <definedNames>
    <definedName name="Authority">'Summary'!$B$4</definedName>
    <definedName name="CVARS">'C-Variables'!$A$3:$G$101</definedName>
    <definedName name="LASTYEAR">'C-Variables'!$C$2</definedName>
    <definedName name="_xlnm.Print_Area" localSheetId="0">'Summary'!$B$1:$N$45</definedName>
    <definedName name="THISYEAR">'C-Variables'!$D$2</definedName>
  </definedNames>
  <calcPr calcMode="manual" fullCalcOnLoad="1"/>
</workbook>
</file>

<file path=xl/sharedStrings.xml><?xml version="1.0" encoding="utf-8"?>
<sst xmlns="http://schemas.openxmlformats.org/spreadsheetml/2006/main" count="402" uniqueCount="256">
  <si>
    <t>CORE SET INDICATORS</t>
  </si>
  <si>
    <t>C222</t>
  </si>
  <si>
    <t>C1006</t>
  </si>
  <si>
    <t>WMT 10(vi) - Composting rate</t>
  </si>
  <si>
    <t>C1013</t>
  </si>
  <si>
    <t>C1025 = C2 + C61 + C5 + C24 + C26 + C63 + C1008 + C1009 + C1010 + C1011 + C1012 + C1013 + C1014 + C1015</t>
  </si>
  <si>
    <t>THIS INFORMATION IS PROVIDED FOR GUIDANCE ONLY – VALIDATION OF THE QUARTER MAY LEAD TO INFORMATION HAVING TO BE CHANGED.    
ANNUAL BEST VALUE PERFORMANCE INDICATORS CALCULATED USING INFORMATION ENTERED INTO WASTEDATAFLOW WILL BE SUPPLIED TO LGDU BY THE WELSH ASSEMBLY GOVERNMENT
Legacy, non-active Performance indicators can be found in the 'Reports' section of WasteDataFlow</t>
  </si>
  <si>
    <t>Q23 NH Residual Waste</t>
  </si>
  <si>
    <t>Q18 HH Parks and Grounds Waste Collected</t>
  </si>
  <si>
    <t>Q11 Rejected For Reuse (excluding green, other compost &amp; rubble )</t>
  </si>
  <si>
    <t>C113</t>
  </si>
  <si>
    <t>C226</t>
  </si>
  <si>
    <t>C240</t>
  </si>
  <si>
    <t>C1002</t>
  </si>
  <si>
    <t>Q4</t>
  </si>
  <si>
    <t>C16</t>
  </si>
  <si>
    <t>C23</t>
  </si>
  <si>
    <t>C30</t>
  </si>
  <si>
    <t>C237</t>
  </si>
  <si>
    <t>C1017</t>
  </si>
  <si>
    <t>C1042</t>
  </si>
  <si>
    <t>Q11 Green and other Compostable Rejected For Recycling</t>
  </si>
  <si>
    <t>C27</t>
  </si>
  <si>
    <t>Q16 Rejected For Recycling or Reuse (excl Rubble)</t>
  </si>
  <si>
    <t>C70</t>
  </si>
  <si>
    <t>Q35 Tonnes Rejected For Landfill</t>
  </si>
  <si>
    <t>WMT004 &amp; 005 Denominator (Pre 2012/13)</t>
  </si>
  <si>
    <t>Q100 Tonnes of IFA Landfilled</t>
  </si>
  <si>
    <t>Wales Municipal Waste Landfilled - WMT004 Numerator</t>
  </si>
  <si>
    <t>Total landfilled</t>
  </si>
  <si>
    <t>C67</t>
  </si>
  <si>
    <t>C74</t>
  </si>
  <si>
    <t>C63</t>
  </si>
  <si>
    <t>C49</t>
  </si>
  <si>
    <t>(i) C236 = C60 - C61 - C71 + C88 - C87</t>
  </si>
  <si>
    <t>WMT 10(iv) - Dry reuse rate</t>
  </si>
  <si>
    <t>WMT 09b reuse, recycling and composting rate</t>
  </si>
  <si>
    <t>Q11 NH Collected For Recycling (excl green, other compost, rubble)</t>
  </si>
  <si>
    <t>Q11 Green and other Compostable Collected For Recycling</t>
  </si>
  <si>
    <t>Q54,57 Sent to incineration with energy recovery</t>
  </si>
  <si>
    <t>Q51, 52, 53 Tonnage inputs to Landfill</t>
  </si>
  <si>
    <t>C38</t>
  </si>
  <si>
    <t>Q54, 55 Incinerator Bottom Ash Recycled</t>
  </si>
  <si>
    <t>C78</t>
  </si>
  <si>
    <t>C81</t>
  </si>
  <si>
    <t>Q100 Tonnes indirectly to Advanced thermal treatment less Outputs (excl process and moisture loss)</t>
  </si>
  <si>
    <t>tonnes</t>
  </si>
  <si>
    <t>WMT/004 - a) The total tonnage of and b) the percentage of municipal wastes sent to landfill.</t>
  </si>
  <si>
    <t>C7</t>
  </si>
  <si>
    <t>NATIONAL ASSEMBLY OF WALES PERFOMANCE INDICATORS</t>
  </si>
  <si>
    <t>Numerator : (ii) Municipal dry recycling</t>
  </si>
  <si>
    <t>Q58 Total Rejected to Landfill and Energy Recovery</t>
  </si>
  <si>
    <t>Q10, 11, 12, 16, 17, 33, 34 Rubble Rejected For Recycling And Reuse</t>
  </si>
  <si>
    <t xml:space="preserve">Total Municipal Waste </t>
  </si>
  <si>
    <t>Q100 Tonnes for Recycling from non-Primary MRF</t>
  </si>
  <si>
    <t>Composting</t>
  </si>
  <si>
    <t xml:space="preserve">The total tonnage and the percentage of municipal waste: </t>
  </si>
  <si>
    <t>C1010</t>
  </si>
  <si>
    <t>C1014</t>
  </si>
  <si>
    <t>Q19 Rejected (excl green, other compost, rubble)</t>
  </si>
  <si>
    <t>Q19 Green and other Compostable Rejected</t>
  </si>
  <si>
    <t>Q7 Number of Households receiving a collection of at least two recyclable</t>
  </si>
  <si>
    <t>Q25 % Vehicles Recycled</t>
  </si>
  <si>
    <t>Q35 Rubble Rejected</t>
  </si>
  <si>
    <t>Q35 Rejected (excl Green, other compost and rubble)</t>
  </si>
  <si>
    <t>Q60 Tonnage Input</t>
  </si>
  <si>
    <t>Q61 Tonnes output to Composting and Landfill</t>
  </si>
  <si>
    <t>C107</t>
  </si>
  <si>
    <t>C223</t>
  </si>
  <si>
    <t>C227</t>
  </si>
  <si>
    <t>WMT005 Numerator (Pre 2012/13)</t>
  </si>
  <si>
    <t>C230</t>
  </si>
  <si>
    <t>Municipal Dry Waste Recycled</t>
  </si>
  <si>
    <t>C241</t>
  </si>
  <si>
    <t>C1003</t>
  </si>
  <si>
    <t>C1007</t>
  </si>
  <si>
    <t>Q1</t>
  </si>
  <si>
    <t>per cent</t>
  </si>
  <si>
    <t>Landfill rate</t>
  </si>
  <si>
    <t>NATIONAL STRATEGIC INDICATORS</t>
  </si>
  <si>
    <t>Denominator : Total Municipal Waste (excluding rubble, incinerator residues, abandoned vehicles and beach cleansing).</t>
  </si>
  <si>
    <t>C60</t>
  </si>
  <si>
    <t>C24</t>
  </si>
  <si>
    <t>C17</t>
  </si>
  <si>
    <t>C1025</t>
  </si>
  <si>
    <t>C1018</t>
  </si>
  <si>
    <t>C1043</t>
  </si>
  <si>
    <t>C31</t>
  </si>
  <si>
    <t>Q23 CandI, Beach Cleansing, Grounds, Gullys and highways</t>
  </si>
  <si>
    <t xml:space="preserve">Q25 Tonnes of Vehicles </t>
  </si>
  <si>
    <t>Q35 Green and other Compostable Rejected</t>
  </si>
  <si>
    <t>Municipal Waste Composted</t>
  </si>
  <si>
    <t>C238</t>
  </si>
  <si>
    <t>Q100 Tonnes sent direct to Inert Landfill</t>
  </si>
  <si>
    <t>Q100 Tonnes sent indirectly to Hazardous Landfill (excl. IBA and IFA)</t>
  </si>
  <si>
    <t>Q100 Tonnes direct to Incineration with Energy Recovery less Outputs (excl process and moisture loss)</t>
  </si>
  <si>
    <t>Q100 Tonnes process losses, CLO, Mixed Organic &amp; Composting to FD directly from secondary/tertiary Aerobic or Anerobic digestion (whole waste).</t>
  </si>
  <si>
    <t>Total municipal waste</t>
  </si>
  <si>
    <t>Proportion used to recover  heat &amp; power</t>
  </si>
  <si>
    <t>C71</t>
  </si>
  <si>
    <t>C75</t>
  </si>
  <si>
    <t>NSI numerator:</t>
  </si>
  <si>
    <t>C39</t>
  </si>
  <si>
    <t>C64</t>
  </si>
  <si>
    <t>C68</t>
  </si>
  <si>
    <t>C79</t>
  </si>
  <si>
    <t>C82</t>
  </si>
  <si>
    <t>WMT006 Denominator</t>
  </si>
  <si>
    <t>WMT 10(v) Dry recycling rate</t>
  </si>
  <si>
    <t>Q100 Tonnes Rejected to Landfill and Energy Recovery from non-Primary MRF</t>
  </si>
  <si>
    <t>Q100 Tonnes process losses, CLO, Mixed Organic &amp; Composting to FD directly from secondary/tertiary Aerobic or Anerobic digestion (segregated waste).</t>
  </si>
  <si>
    <t>C4</t>
  </si>
  <si>
    <t>WMT/009 -The percentage of municipal waste collected by local authorities and prepared for reuse and/or recycled, including source segregated biowastes that are composted or treated biologically in another way</t>
  </si>
  <si>
    <t>Dry Recycling</t>
  </si>
  <si>
    <t>Numerator : (i) Municipal dry reuse</t>
  </si>
  <si>
    <t>WMT 10(v) - Dry recycling rate</t>
  </si>
  <si>
    <t>WMT 10(iv) Reused ; WMT 10(v) recycled; and WMT 10(vi) Composted or treated biologically in another way.</t>
  </si>
  <si>
    <t>Q18 Parks and Grounds Waste Collected (Q18 row 1)</t>
  </si>
  <si>
    <t>WMT004 Numerator - *Unused*</t>
  </si>
  <si>
    <t>Q100 IBA Landfilled from non-Primary EFW facility</t>
  </si>
  <si>
    <t>Q100 Tonnes sent direct to Non-Hazardous Landfill</t>
  </si>
  <si>
    <t>Total Municipal Waste</t>
  </si>
  <si>
    <t>Numerator : Municipal waste used to recover heat and power</t>
  </si>
  <si>
    <t>CSI numerator:</t>
  </si>
  <si>
    <t>C1000</t>
  </si>
  <si>
    <t>C235</t>
  </si>
  <si>
    <t>C1004</t>
  </si>
  <si>
    <t>C1011</t>
  </si>
  <si>
    <t>C1015</t>
  </si>
  <si>
    <t>WMT/012 - a) The percentage of local authority collected municipal waste used to recover heat and power and b) the total municipal waste.</t>
  </si>
  <si>
    <t>Q10, 12, 16, 17, 33, 34 Green and other Compostable Rejected For Recycling</t>
  </si>
  <si>
    <t>Q58 Diverted For Recycling</t>
  </si>
  <si>
    <t xml:space="preserve">Q61 Tonnage Input </t>
  </si>
  <si>
    <t>Q60 Tonnes to Landfill or Composting</t>
  </si>
  <si>
    <t>WMT003 Numerator</t>
  </si>
  <si>
    <t>C224</t>
  </si>
  <si>
    <t>C231</t>
  </si>
  <si>
    <t>Q100 Metal Recycled from non-Primary EFW facility</t>
  </si>
  <si>
    <t>Q100 Tonnes to Landfill from non-Primary MBT</t>
  </si>
  <si>
    <t>2017/18</t>
  </si>
  <si>
    <t>Q2</t>
  </si>
  <si>
    <t>Total</t>
  </si>
  <si>
    <t>Denominator : Total Municipal Waste</t>
  </si>
  <si>
    <t>Numerator : Municipal waste landfilled</t>
  </si>
  <si>
    <t>See comment indicators and 'C-Variables' tab for a definition of each data item</t>
  </si>
  <si>
    <t>C61</t>
  </si>
  <si>
    <t>C18</t>
  </si>
  <si>
    <t>C25</t>
  </si>
  <si>
    <t>C50</t>
  </si>
  <si>
    <t>CSI Denominator:</t>
  </si>
  <si>
    <t>Numerator : (iii) Municipal composting</t>
  </si>
  <si>
    <t>(ii) C235 = C1 + C49 + C4 - (C2 + C5)  - C6 + C16 + C73 - C7 + C1000 + C1004</t>
  </si>
  <si>
    <t>(indicator used from April 2012 onwards)</t>
  </si>
  <si>
    <t>C1008</t>
  </si>
  <si>
    <t>C1019</t>
  </si>
  <si>
    <t>C1044</t>
  </si>
  <si>
    <t>Q11 NH Rejected For Recycling (excl green, other compost, rubble)</t>
  </si>
  <si>
    <t>Q56, 57, 59, 60, 64, 65 Diverted For Recycling</t>
  </si>
  <si>
    <t>Q10, 12, 16, 17, 33, 34 Green and other Compostable Collected For Recycling</t>
  </si>
  <si>
    <t>C36</t>
  </si>
  <si>
    <t>Q56, 59, 60, 64, 65 Tonnage sent to Landfill by Other Routes</t>
  </si>
  <si>
    <t>Q59 &amp; Q56 Tonnage to RDF</t>
  </si>
  <si>
    <t>Q11 Collected For Reuse (excluding green, other compost &amp; rubble )</t>
  </si>
  <si>
    <t>WMT004 Numerator (Pre 2012/13)</t>
  </si>
  <si>
    <t>WMT006 Numerator</t>
  </si>
  <si>
    <t>C239</t>
  </si>
  <si>
    <t>Q100 Tonnes sent indirectly to Non-Hazardous Landfill (excl. IBA and IFA)</t>
  </si>
  <si>
    <t>Q100 Tonnes indirectly to Incineration with Energy Recovery less Outputs (excl process and moisture loss)</t>
  </si>
  <si>
    <t>Total For</t>
  </si>
  <si>
    <t>See WMT004 Detail</t>
  </si>
  <si>
    <t>C72</t>
  </si>
  <si>
    <t>C Variable</t>
  </si>
  <si>
    <t>Description</t>
  </si>
  <si>
    <t>C83</t>
  </si>
  <si>
    <t>C87</t>
  </si>
  <si>
    <t>Q10,12, 16, 17, 33, 34 Collected For Recycling (excl green, other compost, rubble)</t>
  </si>
  <si>
    <t>Q23 HH Residual Waste</t>
  </si>
  <si>
    <t>C65</t>
  </si>
  <si>
    <t>Q23 CA site HH and non-HH</t>
  </si>
  <si>
    <t>C69</t>
  </si>
  <si>
    <t>Q54, 55 Metal Recycled</t>
  </si>
  <si>
    <t>C76</t>
  </si>
  <si>
    <t>Municipal Dry Waste Reused</t>
  </si>
  <si>
    <t>WMT004 &amp; 005 Denominator</t>
  </si>
  <si>
    <t>Q100 Tonnes Rejected to Landfill from non-Primary MRF</t>
  </si>
  <si>
    <t>Monmouthshire CC</t>
  </si>
  <si>
    <t>C1</t>
  </si>
  <si>
    <t>C5</t>
  </si>
  <si>
    <t>NSI Denominator:</t>
  </si>
  <si>
    <t>(iii) C221 = C23 + C25 + C50 - (C24 + C26) - C30 - C75 - C83</t>
  </si>
  <si>
    <t>Q54, 55 Incinerator Bottom Ash to Landfill</t>
  </si>
  <si>
    <t>WMT003 Denominator</t>
  </si>
  <si>
    <t>Q100 Tonnes sent indirectly to Inert Landfill (excl. IBA and IFA)</t>
  </si>
  <si>
    <t>Q100 Tonnes process losses, CLO, Mixed Organic &amp; Composting to FD directly from primary Aerobic or Anerobic digestion (segregated waste).</t>
  </si>
  <si>
    <t>2018/19</t>
  </si>
  <si>
    <t>C221</t>
  </si>
  <si>
    <t>C1005</t>
  </si>
  <si>
    <t>C222 = C17 + C18 - C67 + C1 + C49 + C4 + C60 + C23 + C25 + C50 - (C72 + C74 + C1005 + C1006)</t>
  </si>
  <si>
    <t>C1012</t>
  </si>
  <si>
    <t>C1016</t>
  </si>
  <si>
    <t>C1041</t>
  </si>
  <si>
    <t>C1045 = C1016 + C1017 + C1018 + C1019 + C1041 + C1042 + C1043 + C1044</t>
  </si>
  <si>
    <t>Q58 Rejected to Landfill</t>
  </si>
  <si>
    <t>Q10, 11, 12, 16, 17, 33, 34 Collected For Reuse (excl. green, other compost and rubble)</t>
  </si>
  <si>
    <t>Q10, 11, 12, 16, 17, 33, 34 Rubble Collected For Recycling And Reuse</t>
  </si>
  <si>
    <t>C105</t>
  </si>
  <si>
    <t>Q19 Tonnes Rejected For Energy Recovery (Advanced Thermal Treatment or Incineration With Energy Recovery)</t>
  </si>
  <si>
    <t>C112</t>
  </si>
  <si>
    <t>C225</t>
  </si>
  <si>
    <t>C232</t>
  </si>
  <si>
    <t>C1001</t>
  </si>
  <si>
    <t>Q3</t>
  </si>
  <si>
    <t>C62</t>
  </si>
  <si>
    <t>C26</t>
  </si>
  <si>
    <t>C51</t>
  </si>
  <si>
    <t>Dry Reuse</t>
  </si>
  <si>
    <t>WMT/004 - a) The total tonnage of and b) the percentage of municipal wastes collected by local authorities sent to landfill.</t>
  </si>
  <si>
    <t>C236</t>
  </si>
  <si>
    <t>C1009</t>
  </si>
  <si>
    <t>C1045</t>
  </si>
  <si>
    <t>C40</t>
  </si>
  <si>
    <t>C44</t>
  </si>
  <si>
    <t>Q64 &amp; 65 Tonnes to Recovery (Thermal or Biological)</t>
  </si>
  <si>
    <t>C229</t>
  </si>
  <si>
    <t>WMT 10(iv) Dry reuse rate</t>
  </si>
  <si>
    <t>Q100 Tonnes direct to Advanced thermal treatment less Outputs (excl process and moisture loss)</t>
  </si>
  <si>
    <t>Wales Municipal Waste Used to Recover Heat and Power (Apr 2013 onwards)</t>
  </si>
  <si>
    <t>C73</t>
  </si>
  <si>
    <t>C88</t>
  </si>
  <si>
    <t>C37</t>
  </si>
  <si>
    <t>Q18 Recycling (skips and other waste)</t>
  </si>
  <si>
    <t>C66</t>
  </si>
  <si>
    <t>C77</t>
  </si>
  <si>
    <t>C80</t>
  </si>
  <si>
    <t>WMT 10(vi) Composting rate</t>
  </si>
  <si>
    <t>Q100 IBA Recycled from non-Primary EFW facility</t>
  </si>
  <si>
    <t>Q100 Tonnes sent direct to Hazardous Landfill</t>
  </si>
  <si>
    <t>Q100 Tonnes of IBA Landfilled</t>
  </si>
  <si>
    <t>See 'C-Variables' tab for a definition of each data item</t>
  </si>
  <si>
    <t>Energy or heat recovery</t>
  </si>
  <si>
    <t>C6</t>
  </si>
  <si>
    <t>C2</t>
  </si>
  <si>
    <t>C237 = C17 + C18 + C1 + C49 + C4 + C60 + C23 + C50 + C25 + C62</t>
  </si>
  <si>
    <t>Q10,12, 16, 17, 33, 34 HH Rejected For Recycling (excl green, other compost, rubble)</t>
  </si>
  <si>
    <t>Q19 Rubble Rejected For Recycling</t>
  </si>
  <si>
    <t>Q58 Rejected For Energy Recovery</t>
  </si>
  <si>
    <t>Q10, 11, 12, 16, 17, 33, 34 Rejected For Reuse (excl. green, other compost and rubble)</t>
  </si>
  <si>
    <t>Q16 Collected For Recycling (excl Rubble)</t>
  </si>
  <si>
    <t>Q61, 62, 63 Rejected To Landfill</t>
  </si>
  <si>
    <t>Q54 &amp; Q57 All Outputs</t>
  </si>
  <si>
    <t>Q19 Tonnes Rejected to Landfill</t>
  </si>
  <si>
    <t>Q35 Tonnes Rejected For Energy Recovery</t>
  </si>
  <si>
    <t>WMT007 Numerator</t>
  </si>
  <si>
    <t>WMT007 Denominator</t>
  </si>
  <si>
    <t>Q100 Tonnes Rejected to Energy Recovery from non-Primary MRF</t>
  </si>
  <si>
    <t>Q100 Tonnes process losses, CLO, Mixed Organic &amp; Composting to FD directly from primary Aerobic or Anerobic digestion (whole waste).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</si>
</sst>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0"/>
      <name val="Arial"/>
      <family val="0"/>
    </font>
    <font>
      <b/>
      <sz val="10"/>
      <name val="Arial"/>
      <family val="2"/>
    </font>
    <font>
      <sz val="8"/>
      <name val="Arial"/>
      <family val="2"/>
    </font>
    <font>
      <sz val="10"/>
      <color indexed="10"/>
      <name val="Arial"/>
      <family val="2"/>
    </font>
    <font>
      <b/>
      <u val="single"/>
      <sz val="12"/>
      <color indexed="21"/>
      <name val="Arial"/>
      <family val="2"/>
    </font>
    <font>
      <b/>
      <u val="single"/>
      <sz val="10"/>
      <name val="Arial"/>
      <family val="2"/>
    </font>
    <font>
      <b/>
      <u val="single"/>
      <sz val="12"/>
      <name val="Arial"/>
      <family val="2"/>
    </font>
    <font>
      <b/>
      <sz val="14"/>
      <color indexed="21"/>
      <name val="Arial"/>
      <family val="2"/>
    </font>
    <font>
      <b/>
      <i/>
      <sz val="8"/>
      <color indexed="10"/>
      <name val="Arial"/>
      <family val="2"/>
    </font>
    <font>
      <b/>
      <i/>
      <sz val="10"/>
      <color indexed="10"/>
      <name val="Arial"/>
      <family val="2"/>
    </font>
    <font>
      <i/>
      <sz val="10"/>
      <name val="Arial"/>
      <family val="2"/>
    </font>
    <font>
      <b/>
      <u val="single"/>
      <sz val="16"/>
      <name val="Arial"/>
      <family val="2"/>
    </font>
    <font>
      <sz val="10"/>
      <color indexed="9"/>
      <name val="Arial"/>
      <family val="2"/>
    </font>
    <font>
      <i/>
      <sz val="10"/>
      <color indexed="10"/>
      <name val="Arial"/>
      <family val="2"/>
    </font>
    <font>
      <sz val="10"/>
      <color indexed="12"/>
      <name val="Arial"/>
      <family val="2"/>
    </font>
    <font>
      <b/>
      <sz val="14"/>
      <color indexed="12"/>
      <name val="Arial"/>
      <family val="2"/>
    </font>
    <font>
      <b/>
      <i/>
      <sz val="10"/>
      <name val="Arial"/>
      <family val="2"/>
    </font>
    <font>
      <b/>
      <u val="single"/>
      <sz val="12"/>
      <color indexed="12"/>
      <name val="Arial"/>
      <family val="2"/>
    </font>
    <font>
      <sz val="11"/>
      <color indexed="8"/>
      <name val="Calibri"/>
      <family val="2"/>
    </font>
    <font>
      <b/>
      <sz val="11"/>
      <color indexed="8"/>
      <name val="Calibri"/>
      <family val="2"/>
    </font>
    <font>
      <sz val="11"/>
      <color indexed="9"/>
      <name val="Calibri"/>
      <family val="2"/>
    </font>
    <font>
      <i/>
      <sz val="11"/>
      <color indexed="23"/>
      <name val="Calibri"/>
      <family val="2"/>
    </font>
    <font>
      <sz val="11"/>
      <color indexed="52"/>
      <name val="Calibri"/>
      <family val="2"/>
    </font>
    <font>
      <sz val="11"/>
      <color indexed="20"/>
      <name val="Calibri"/>
      <family val="2"/>
    </font>
    <font>
      <sz val="11"/>
      <color indexed="17"/>
      <name val="Calibri"/>
      <family val="2"/>
    </font>
    <font>
      <b/>
      <sz val="11"/>
      <color indexed="63"/>
      <name val="Calibri"/>
      <family val="2"/>
    </font>
    <font>
      <b/>
      <sz val="11"/>
      <color indexed="52"/>
      <name val="Calibri"/>
      <family val="2"/>
    </font>
    <font>
      <b/>
      <sz val="18"/>
      <color indexed="54"/>
      <name val="Calibri Light"/>
      <family val="2"/>
    </font>
    <font>
      <sz val="11"/>
      <color indexed="10"/>
      <name val="Calibri"/>
      <family val="2"/>
    </font>
    <font>
      <b/>
      <sz val="13"/>
      <color indexed="54"/>
      <name val="Calibri"/>
      <family val="2"/>
    </font>
    <font>
      <b/>
      <sz val="11"/>
      <color indexed="54"/>
      <name val="Calibri"/>
      <family val="2"/>
    </font>
    <font>
      <b/>
      <sz val="11"/>
      <color indexed="9"/>
      <name val="Calibri"/>
      <family val="2"/>
    </font>
    <font>
      <b/>
      <sz val="15"/>
      <color indexed="54"/>
      <name val="Calibri"/>
      <family val="2"/>
    </font>
    <font>
      <sz val="11"/>
      <color indexed="62"/>
      <name val="Calibri"/>
      <family val="2"/>
    </font>
    <font>
      <sz val="11"/>
      <color indexed="6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4" fontId="0" fillId="0" borderId="10" xfId="0" applyNumberFormat="1" applyBorder="1" applyAlignment="1">
      <alignment horizontal="right"/>
    </xf>
    <xf numFmtId="0" fontId="2" fillId="33" borderId="10" xfId="0" applyFont="1" applyFill="1" applyBorder="1" applyAlignment="1">
      <alignment horizontal="right" wrapText="1"/>
    </xf>
    <xf numFmtId="0" fontId="0" fillId="0" borderId="0" xfId="0" applyFill="1" applyAlignment="1">
      <alignment/>
    </xf>
    <xf numFmtId="4" fontId="0" fillId="0" borderId="10" xfId="0" applyNumberFormat="1" applyBorder="1" applyAlignment="1">
      <alignment/>
    </xf>
    <xf numFmtId="0" fontId="0" fillId="33" borderId="10" xfId="0" applyFill="1" applyBorder="1" applyAlignment="1">
      <alignment horizontal="right"/>
    </xf>
    <xf numFmtId="4" fontId="0" fillId="0" borderId="0" xfId="0" applyNumberFormat="1" applyBorder="1" applyAlignment="1">
      <alignment/>
    </xf>
    <xf numFmtId="0" fontId="1" fillId="0" borderId="0" xfId="0" applyFont="1" applyAlignment="1">
      <alignment horizontal="left" wrapText="1"/>
    </xf>
    <xf numFmtId="0" fontId="1" fillId="0" borderId="0" xfId="0" applyFont="1" applyAlignment="1">
      <alignment horizontal="left"/>
    </xf>
    <xf numFmtId="0" fontId="2" fillId="34" borderId="10" xfId="0" applyFont="1" applyFill="1" applyBorder="1" applyAlignment="1">
      <alignment horizontal="right" wrapText="1"/>
    </xf>
    <xf numFmtId="0" fontId="9" fillId="0" borderId="0" xfId="0" applyFont="1" applyFill="1" applyAlignment="1">
      <alignment horizontal="center" wrapText="1"/>
    </xf>
    <xf numFmtId="0" fontId="1" fillId="0" borderId="0" xfId="0" applyFont="1" applyAlignment="1">
      <alignment wrapText="1"/>
    </xf>
    <xf numFmtId="0" fontId="0" fillId="0" borderId="0" xfId="0" applyFont="1" applyAlignment="1">
      <alignment vertical="top" wrapText="1"/>
    </xf>
    <xf numFmtId="0" fontId="0" fillId="0" borderId="0" xfId="0" applyBorder="1" applyAlignment="1">
      <alignment/>
    </xf>
    <xf numFmtId="0" fontId="0" fillId="34" borderId="10" xfId="0" applyFill="1" applyBorder="1" applyAlignment="1">
      <alignment horizontal="right"/>
    </xf>
    <xf numFmtId="0" fontId="0" fillId="34" borderId="10" xfId="0" applyFont="1" applyFill="1" applyBorder="1" applyAlignment="1">
      <alignment horizontal="right"/>
    </xf>
    <xf numFmtId="0" fontId="0" fillId="0" borderId="0" xfId="0" applyFill="1" applyBorder="1" applyAlignment="1">
      <alignment/>
    </xf>
    <xf numFmtId="4" fontId="0" fillId="0" borderId="11" xfId="0" applyNumberFormat="1" applyBorder="1" applyAlignment="1">
      <alignment horizontal="right"/>
    </xf>
    <xf numFmtId="0" fontId="5" fillId="0" borderId="0" xfId="0" applyFont="1" applyFill="1" applyBorder="1" applyAlignment="1">
      <alignment vertical="center" wrapText="1"/>
    </xf>
    <xf numFmtId="4" fontId="0" fillId="0" borderId="12" xfId="0" applyNumberFormat="1" applyBorder="1" applyAlignment="1">
      <alignment horizontal="right"/>
    </xf>
    <xf numFmtId="4" fontId="0" fillId="0" borderId="0" xfId="0" applyNumberFormat="1" applyBorder="1" applyAlignment="1">
      <alignment horizontal="right"/>
    </xf>
    <xf numFmtId="0" fontId="11" fillId="0" borderId="0" xfId="0" applyFont="1" applyFill="1" applyBorder="1" applyAlignment="1">
      <alignment horizontal="left"/>
    </xf>
    <xf numFmtId="0" fontId="5" fillId="0" borderId="0" xfId="0" applyFont="1" applyAlignment="1">
      <alignment/>
    </xf>
    <xf numFmtId="172" fontId="1" fillId="0" borderId="10" xfId="57" applyNumberFormat="1" applyFont="1" applyBorder="1" applyAlignment="1">
      <alignment horizontal="center"/>
    </xf>
    <xf numFmtId="0" fontId="1" fillId="0" borderId="0" xfId="0" applyFont="1" applyAlignment="1">
      <alignment/>
    </xf>
    <xf numFmtId="4" fontId="0" fillId="0" borderId="10" xfId="0" applyNumberFormat="1" applyFont="1" applyBorder="1" applyAlignment="1">
      <alignment horizontal="right"/>
    </xf>
    <xf numFmtId="0" fontId="0" fillId="34" borderId="13" xfId="0" applyFill="1" applyBorder="1" applyAlignment="1">
      <alignment horizontal="center"/>
    </xf>
    <xf numFmtId="9" fontId="2" fillId="34" borderId="10" xfId="57" applyFont="1" applyFill="1" applyBorder="1" applyAlignment="1">
      <alignment horizontal="right" wrapText="1"/>
    </xf>
    <xf numFmtId="0" fontId="0" fillId="34" borderId="14" xfId="0" applyFont="1" applyFill="1" applyBorder="1" applyAlignment="1">
      <alignment horizontal="center" vertical="center" wrapText="1"/>
    </xf>
    <xf numFmtId="0" fontId="0" fillId="33" borderId="10" xfId="0" applyFont="1" applyFill="1" applyBorder="1" applyAlignment="1">
      <alignment horizontal="right"/>
    </xf>
    <xf numFmtId="0" fontId="1" fillId="0" borderId="0" xfId="0" applyFont="1" applyAlignment="1">
      <alignment/>
    </xf>
    <xf numFmtId="0" fontId="1" fillId="0" borderId="0" xfId="0" applyFont="1" applyAlignment="1" quotePrefix="1">
      <alignment/>
    </xf>
    <xf numFmtId="0" fontId="0" fillId="33" borderId="15" xfId="0" applyFont="1" applyFill="1" applyBorder="1" applyAlignment="1">
      <alignment horizontal="center" vertical="center" wrapText="1"/>
    </xf>
    <xf numFmtId="0" fontId="3" fillId="0" borderId="0" xfId="0" applyFont="1" applyAlignment="1">
      <alignment horizontal="left" vertical="top"/>
    </xf>
    <xf numFmtId="0" fontId="6" fillId="0" borderId="0" xfId="0" applyFont="1" applyAlignment="1">
      <alignment/>
    </xf>
    <xf numFmtId="10" fontId="1" fillId="0" borderId="10" xfId="57" applyNumberFormat="1" applyFont="1" applyBorder="1" applyAlignment="1">
      <alignment horizontal="center"/>
    </xf>
    <xf numFmtId="0" fontId="3" fillId="0" borderId="0" xfId="0" applyFont="1" applyAlignment="1">
      <alignment vertical="top"/>
    </xf>
    <xf numFmtId="0" fontId="0" fillId="33" borderId="13" xfId="0" applyFill="1" applyBorder="1" applyAlignment="1">
      <alignment horizontal="center"/>
    </xf>
    <xf numFmtId="0" fontId="1" fillId="35" borderId="15" xfId="0" applyFont="1" applyFill="1" applyBorder="1" applyAlignment="1">
      <alignment horizontal="center" wrapText="1"/>
    </xf>
    <xf numFmtId="0" fontId="1" fillId="35" borderId="13" xfId="0" applyFont="1" applyFill="1" applyBorder="1" applyAlignment="1">
      <alignment horizontal="center"/>
    </xf>
    <xf numFmtId="0" fontId="0" fillId="34" borderId="15" xfId="0" applyFont="1" applyFill="1" applyBorder="1" applyAlignment="1">
      <alignment horizontal="center" vertical="center" wrapText="1"/>
    </xf>
    <xf numFmtId="0" fontId="0" fillId="33" borderId="10" xfId="0" applyFill="1" applyBorder="1" applyAlignment="1">
      <alignment/>
    </xf>
    <xf numFmtId="0" fontId="0" fillId="0" borderId="0" xfId="0" applyAlignment="1">
      <alignment horizontal="left"/>
    </xf>
    <xf numFmtId="0" fontId="13" fillId="0" borderId="0" xfId="0" applyFont="1" applyAlignment="1">
      <alignment/>
    </xf>
    <xf numFmtId="0" fontId="0" fillId="34" borderId="10" xfId="0"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4" fillId="0" borderId="0" xfId="0" applyFont="1" applyAlignment="1">
      <alignment/>
    </xf>
    <xf numFmtId="0" fontId="15" fillId="0" borderId="0" xfId="0" applyFont="1" applyFill="1" applyBorder="1" applyAlignment="1">
      <alignment/>
    </xf>
    <xf numFmtId="0" fontId="1" fillId="0" borderId="0" xfId="0" applyFont="1" applyAlignment="1">
      <alignment vertical="top" wrapText="1"/>
    </xf>
    <xf numFmtId="4" fontId="0" fillId="0" borderId="14" xfId="0" applyNumberFormat="1" applyBorder="1" applyAlignment="1">
      <alignment horizontal="right"/>
    </xf>
    <xf numFmtId="4" fontId="0" fillId="0" borderId="16" xfId="0" applyNumberFormat="1" applyBorder="1" applyAlignment="1">
      <alignment horizontal="right"/>
    </xf>
    <xf numFmtId="4" fontId="0" fillId="0" borderId="17" xfId="0" applyNumberFormat="1" applyBorder="1" applyAlignment="1">
      <alignment horizontal="right"/>
    </xf>
    <xf numFmtId="4" fontId="0" fillId="0" borderId="18" xfId="0" applyNumberFormat="1" applyBorder="1" applyAlignment="1">
      <alignment horizontal="right"/>
    </xf>
    <xf numFmtId="4" fontId="0" fillId="0" borderId="19" xfId="0" applyNumberFormat="1" applyBorder="1" applyAlignment="1">
      <alignment horizontal="right"/>
    </xf>
    <xf numFmtId="0" fontId="0" fillId="35" borderId="13" xfId="0" applyFill="1" applyBorder="1" applyAlignment="1">
      <alignment/>
    </xf>
    <xf numFmtId="0" fontId="17" fillId="0" borderId="0" xfId="0" applyFont="1" applyFill="1" applyBorder="1" applyAlignment="1">
      <alignment/>
    </xf>
    <xf numFmtId="4" fontId="0" fillId="0" borderId="20" xfId="0" applyNumberFormat="1" applyBorder="1" applyAlignment="1">
      <alignment horizontal="right"/>
    </xf>
    <xf numFmtId="4" fontId="12" fillId="0" borderId="10" xfId="0" applyNumberFormat="1" applyFont="1" applyBorder="1" applyAlignment="1">
      <alignment horizontal="right"/>
    </xf>
    <xf numFmtId="0" fontId="0" fillId="0" borderId="0" xfId="0" applyAlignment="1">
      <alignment wrapText="1"/>
    </xf>
    <xf numFmtId="0" fontId="4" fillId="0" borderId="0" xfId="0" applyFont="1" applyFill="1" applyAlignment="1">
      <alignment/>
    </xf>
    <xf numFmtId="16" fontId="1" fillId="35" borderId="15" xfId="0" applyNumberFormat="1" applyFont="1" applyFill="1" applyBorder="1" applyAlignment="1">
      <alignment horizontal="center"/>
    </xf>
    <xf numFmtId="0" fontId="14" fillId="0" borderId="0" xfId="0" applyFont="1" applyFill="1" applyBorder="1" applyAlignment="1">
      <alignment/>
    </xf>
    <xf numFmtId="4" fontId="1" fillId="0" borderId="0" xfId="0" applyNumberFormat="1" applyFont="1" applyAlignment="1" quotePrefix="1">
      <alignment horizontal="left"/>
    </xf>
    <xf numFmtId="0" fontId="0" fillId="35" borderId="13" xfId="0" applyFill="1" applyBorder="1" applyAlignment="1">
      <alignment wrapText="1"/>
    </xf>
    <xf numFmtId="0" fontId="1" fillId="35" borderId="15" xfId="0" applyFont="1" applyFill="1" applyBorder="1" applyAlignment="1">
      <alignment horizontal="center"/>
    </xf>
    <xf numFmtId="9" fontId="0" fillId="34" borderId="10" xfId="57" applyFont="1" applyFill="1" applyBorder="1" applyAlignment="1">
      <alignment/>
    </xf>
    <xf numFmtId="0" fontId="0" fillId="33" borderId="21" xfId="0" applyFont="1" applyFill="1" applyBorder="1" applyAlignment="1">
      <alignment horizontal="right"/>
    </xf>
    <xf numFmtId="0" fontId="0" fillId="0" borderId="10" xfId="0" applyFont="1" applyFill="1" applyBorder="1" applyAlignment="1">
      <alignment horizontal="right" vertical="center" wrapText="1"/>
    </xf>
    <xf numFmtId="0" fontId="8" fillId="0" borderId="0" xfId="0" applyFont="1" applyAlignment="1">
      <alignment horizontal="left"/>
    </xf>
    <xf numFmtId="9" fontId="0" fillId="0" borderId="0" xfId="57" applyFont="1" applyAlignment="1">
      <alignment/>
    </xf>
    <xf numFmtId="0" fontId="10" fillId="0" borderId="0" xfId="0" applyFont="1" applyAlignment="1">
      <alignment/>
    </xf>
    <xf numFmtId="4" fontId="1" fillId="0" borderId="0" xfId="0" applyNumberFormat="1" applyFont="1" applyAlignment="1" quotePrefix="1">
      <alignment/>
    </xf>
    <xf numFmtId="0" fontId="1" fillId="35" borderId="15" xfId="0" applyFont="1" applyFill="1" applyBorder="1" applyAlignment="1">
      <alignment wrapText="1"/>
    </xf>
    <xf numFmtId="0" fontId="1" fillId="0" borderId="0" xfId="0" applyFont="1" applyAlignment="1" quotePrefix="1">
      <alignment horizontal="left"/>
    </xf>
    <xf numFmtId="0" fontId="53" fillId="0" borderId="0" xfId="0" applyFont="1" applyFill="1" applyBorder="1" applyAlignment="1">
      <alignment/>
    </xf>
    <xf numFmtId="0" fontId="11" fillId="0" borderId="0" xfId="0" applyFont="1" applyFill="1" applyBorder="1" applyAlignment="1">
      <alignment horizontal="left"/>
    </xf>
    <xf numFmtId="0" fontId="16"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1" fillId="33" borderId="22" xfId="0" applyFont="1" applyFill="1" applyBorder="1" applyAlignment="1">
      <alignment vertical="center" wrapText="1"/>
    </xf>
    <xf numFmtId="0" fontId="1" fillId="33" borderId="21"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21" xfId="0" applyFill="1" applyBorder="1" applyAlignment="1">
      <alignment vertical="center"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3">
      <selection activeCell="A1" sqref="A1"/>
    </sheetView>
  </sheetViews>
  <sheetFormatPr defaultColWidth="9.421875" defaultRowHeight="12.75"/>
  <cols>
    <col min="1" max="1" width="2.00390625" style="0" customWidth="1"/>
    <col min="2" max="2" width="9.421875" style="0" customWidth="1"/>
    <col min="3" max="3" width="35.421875" style="0" customWidth="1"/>
    <col min="4" max="9" width="12.7109375" style="0" customWidth="1"/>
    <col min="10" max="10" width="17.28125" style="0" customWidth="1"/>
  </cols>
  <sheetData>
    <row r="1" spans="1:13" ht="10.5" customHeight="1">
      <c r="A1" s="13"/>
      <c r="B1" s="13"/>
      <c r="C1" s="13"/>
      <c r="D1" s="13"/>
      <c r="E1" s="13"/>
      <c r="F1" s="13"/>
      <c r="G1" s="13"/>
      <c r="H1" s="13"/>
      <c r="I1" s="13"/>
      <c r="J1" s="13"/>
      <c r="K1" s="13"/>
      <c r="L1" s="13"/>
      <c r="M1" s="13"/>
    </row>
    <row r="2" spans="1:13" ht="20.25">
      <c r="A2" s="16"/>
      <c r="B2" s="76" t="s">
        <v>49</v>
      </c>
      <c r="C2" s="76"/>
      <c r="D2" s="76"/>
      <c r="E2" s="76"/>
      <c r="F2" s="76"/>
      <c r="G2" s="76"/>
      <c r="H2" s="76"/>
      <c r="I2" s="76"/>
      <c r="J2" s="76"/>
      <c r="K2" s="76"/>
      <c r="L2" s="76"/>
      <c r="M2" s="76"/>
    </row>
    <row r="3" spans="1:13" ht="20.25">
      <c r="A3" s="16"/>
      <c r="B3" s="21"/>
      <c r="C3" s="21"/>
      <c r="D3" s="21"/>
      <c r="E3" s="21"/>
      <c r="F3" s="21"/>
      <c r="G3" s="21"/>
      <c r="H3" s="21"/>
      <c r="I3" s="21"/>
      <c r="J3" s="21"/>
      <c r="K3" s="21"/>
      <c r="L3" s="21"/>
      <c r="M3" s="21"/>
    </row>
    <row r="4" spans="1:13" ht="20.25">
      <c r="A4" s="16"/>
      <c r="B4" s="76" t="s">
        <v>185</v>
      </c>
      <c r="C4" s="76"/>
      <c r="D4" s="76"/>
      <c r="E4" s="76"/>
      <c r="F4" s="76"/>
      <c r="G4" s="76"/>
      <c r="H4" s="21"/>
      <c r="I4" s="21"/>
      <c r="J4" s="21"/>
      <c r="K4" s="21"/>
      <c r="L4" s="21"/>
      <c r="M4" s="21"/>
    </row>
    <row r="5" spans="1:13" ht="20.25">
      <c r="A5" s="16"/>
      <c r="B5" s="21"/>
      <c r="C5" s="21"/>
      <c r="D5" s="21"/>
      <c r="E5" s="21"/>
      <c r="F5" s="21"/>
      <c r="G5" s="21"/>
      <c r="H5" s="21"/>
      <c r="I5" s="21"/>
      <c r="J5" s="21"/>
      <c r="K5" s="21"/>
      <c r="L5" s="21"/>
      <c r="M5" s="21"/>
    </row>
    <row r="6" spans="1:13" ht="79.5" customHeight="1">
      <c r="A6" s="16"/>
      <c r="B6" s="77" t="s">
        <v>6</v>
      </c>
      <c r="C6" s="78"/>
      <c r="D6" s="78"/>
      <c r="E6" s="78"/>
      <c r="F6" s="78"/>
      <c r="G6" s="78"/>
      <c r="H6" s="78"/>
      <c r="I6" s="78"/>
      <c r="J6" s="79"/>
      <c r="K6" s="13"/>
      <c r="L6" s="13"/>
      <c r="M6" s="13"/>
    </row>
    <row r="7" spans="1:13" ht="26.25" customHeight="1">
      <c r="A7" s="16"/>
      <c r="B7" s="16"/>
      <c r="C7" s="16"/>
      <c r="D7" s="16"/>
      <c r="E7" s="16"/>
      <c r="F7" s="16"/>
      <c r="G7" s="16"/>
      <c r="H7" s="16"/>
      <c r="I7" s="16"/>
      <c r="J7" s="16"/>
      <c r="K7" s="13"/>
      <c r="L7" s="13"/>
      <c r="M7" s="13"/>
    </row>
    <row r="8" spans="1:13" ht="26.25" customHeight="1">
      <c r="A8" s="16"/>
      <c r="B8" s="48" t="s">
        <v>79</v>
      </c>
      <c r="C8" s="62"/>
      <c r="D8" s="3"/>
      <c r="F8" s="16"/>
      <c r="G8" s="16"/>
      <c r="H8" s="16"/>
      <c r="I8" s="16"/>
      <c r="J8" s="16"/>
      <c r="K8" s="13"/>
      <c r="L8" s="13"/>
      <c r="M8" s="13"/>
    </row>
    <row r="9" spans="1:13" ht="16.5" customHeight="1">
      <c r="A9" s="16"/>
      <c r="B9" s="56" t="s">
        <v>56</v>
      </c>
      <c r="C9" s="62"/>
      <c r="D9" s="3"/>
      <c r="E9" s="3"/>
      <c r="F9" s="3"/>
      <c r="G9" s="3"/>
      <c r="H9" s="3"/>
      <c r="I9" s="3"/>
      <c r="J9" s="3"/>
      <c r="K9" s="13"/>
      <c r="L9" s="13"/>
      <c r="M9" s="13"/>
    </row>
    <row r="10" spans="1:13" ht="16.5" customHeight="1">
      <c r="A10" s="16"/>
      <c r="B10" s="56" t="s">
        <v>116</v>
      </c>
      <c r="C10" s="62"/>
      <c r="D10" s="3"/>
      <c r="E10" s="3"/>
      <c r="F10" s="3"/>
      <c r="G10" s="3"/>
      <c r="H10" s="3"/>
      <c r="I10" s="3"/>
      <c r="J10" s="3"/>
      <c r="K10" s="13"/>
      <c r="L10" s="13"/>
      <c r="M10" s="13"/>
    </row>
    <row r="11" spans="1:13" ht="15" customHeight="1">
      <c r="A11" s="16"/>
      <c r="B11" s="75" t="s">
        <v>152</v>
      </c>
      <c r="C11" s="16"/>
      <c r="D11" s="3"/>
      <c r="E11" s="3"/>
      <c r="F11" s="3"/>
      <c r="G11" s="3"/>
      <c r="H11" s="3"/>
      <c r="I11" s="3"/>
      <c r="J11" s="3"/>
      <c r="K11" s="13"/>
      <c r="L11" s="13"/>
      <c r="M11" s="13"/>
    </row>
    <row r="12" spans="1:13" ht="15.75" customHeight="1">
      <c r="A12" s="16"/>
      <c r="B12" s="46"/>
      <c r="C12" s="16"/>
      <c r="D12" s="80" t="str">
        <f>[0]!LASTYEAR</f>
        <v>2017/18</v>
      </c>
      <c r="E12" s="37" t="s">
        <v>76</v>
      </c>
      <c r="F12" s="37" t="s">
        <v>140</v>
      </c>
      <c r="G12" s="37" t="s">
        <v>211</v>
      </c>
      <c r="H12" s="37" t="s">
        <v>14</v>
      </c>
      <c r="I12" s="37" t="s">
        <v>168</v>
      </c>
      <c r="J12" s="3"/>
      <c r="K12" s="13"/>
      <c r="L12" s="13"/>
      <c r="M12" s="13"/>
    </row>
    <row r="13" spans="1:13" ht="15.75" customHeight="1">
      <c r="A13" s="16"/>
      <c r="D13" s="81" t="e">
        <f>VLOOKUP("C220",[0]!CVARS,4,FALSE)</f>
        <v>#N/A</v>
      </c>
      <c r="E13" s="32" t="str">
        <f>[0]!THISYEAR</f>
        <v>2018/19</v>
      </c>
      <c r="F13" s="32" t="str">
        <f>[0]!THISYEAR</f>
        <v>2018/19</v>
      </c>
      <c r="G13" s="32" t="str">
        <f>[0]!THISYEAR</f>
        <v>2018/19</v>
      </c>
      <c r="H13" s="32" t="str">
        <f>[0]!THISYEAR</f>
        <v>2018/19</v>
      </c>
      <c r="I13" s="32" t="str">
        <f>[0]!THISYEAR</f>
        <v>2018/19</v>
      </c>
      <c r="J13" s="3"/>
      <c r="K13" s="13"/>
      <c r="L13" s="13"/>
      <c r="M13" s="13"/>
    </row>
    <row r="14" spans="1:13" ht="15.75" customHeight="1">
      <c r="A14" s="16"/>
      <c r="B14" s="82" t="s">
        <v>215</v>
      </c>
      <c r="C14" s="83"/>
      <c r="D14" s="58">
        <f>VLOOKUP("C239",[0]!CVARS,3,FALSE)</f>
        <v>221.14</v>
      </c>
      <c r="E14" s="68">
        <f>VLOOKUP("C239",[0]!CVARS,4,FALSE)</f>
        <v>35.04</v>
      </c>
      <c r="F14" s="1">
        <f>VLOOKUP("C239",[0]!CVARS,5,FALSE)</f>
        <v>38.44</v>
      </c>
      <c r="G14" s="1">
        <f>VLOOKUP("C239",[0]!CVARS,6,FALSE)</f>
        <v>37.06</v>
      </c>
      <c r="H14" s="1">
        <f>VLOOKUP("C239",[0]!CVARS,7,FALSE)</f>
        <v>48.67</v>
      </c>
      <c r="I14" s="1">
        <f>SUM(E14:H14)</f>
        <v>159.20999999999998</v>
      </c>
      <c r="J14" s="3" t="s">
        <v>46</v>
      </c>
      <c r="K14" s="13"/>
      <c r="L14" s="13"/>
      <c r="M14" s="13"/>
    </row>
    <row r="15" spans="1:13" ht="15.75" customHeight="1">
      <c r="A15" s="16"/>
      <c r="B15" s="82" t="s">
        <v>113</v>
      </c>
      <c r="C15" s="83"/>
      <c r="D15" s="58">
        <f>VLOOKUP("C240",[0]!CVARS,3,FALSE)</f>
        <v>20147.16</v>
      </c>
      <c r="E15" s="68">
        <f>VLOOKUP("C240",[0]!CVARS,4,FALSE)</f>
        <v>5659.42</v>
      </c>
      <c r="F15" s="1">
        <f>VLOOKUP("C240",[0]!CVARS,5,FALSE)</f>
        <v>5046.41</v>
      </c>
      <c r="G15" s="1">
        <f>VLOOKUP("C240",[0]!CVARS,6,FALSE)</f>
        <v>4195.18</v>
      </c>
      <c r="H15" s="1">
        <f>VLOOKUP("C240",[0]!CVARS,7,FALSE)</f>
        <v>4238.73</v>
      </c>
      <c r="I15" s="1">
        <f>SUM(E15:H15)</f>
        <v>19139.739999999998</v>
      </c>
      <c r="J15" s="3" t="s">
        <v>46</v>
      </c>
      <c r="K15" s="13"/>
      <c r="L15" s="13"/>
      <c r="M15" s="13"/>
    </row>
    <row r="16" spans="1:13" ht="15.75" customHeight="1">
      <c r="A16" s="16"/>
      <c r="B16" s="82" t="s">
        <v>55</v>
      </c>
      <c r="C16" s="84"/>
      <c r="D16" s="58">
        <f>VLOOKUP("C241",[0]!CVARS,3,FALSE)</f>
        <v>11160.5</v>
      </c>
      <c r="E16" s="1">
        <f>VLOOKUP("C241",[0]!CVARS,4,FALSE)</f>
        <v>3457.05</v>
      </c>
      <c r="F16" s="1">
        <f>VLOOKUP("C241",[0]!CVARS,5,FALSE)</f>
        <v>3035.28</v>
      </c>
      <c r="G16" s="1">
        <f>VLOOKUP("C241",[0]!CVARS,6,FALSE)</f>
        <v>2581.45</v>
      </c>
      <c r="H16" s="1">
        <f>VLOOKUP("C241",[0]!CVARS,7,FALSE)</f>
        <v>1904.94</v>
      </c>
      <c r="I16" s="1">
        <f>SUM(E16:H16)</f>
        <v>10978.72</v>
      </c>
      <c r="J16" t="s">
        <v>46</v>
      </c>
      <c r="K16" s="13"/>
      <c r="L16" s="13"/>
      <c r="M16" s="13"/>
    </row>
    <row r="17" spans="1:13" ht="15.75" customHeight="1">
      <c r="A17" s="16"/>
      <c r="B17" s="82" t="s">
        <v>97</v>
      </c>
      <c r="C17" s="84"/>
      <c r="D17" s="58">
        <f>VLOOKUP("C237",[0]!CVARS,3,FALSE)</f>
        <v>0</v>
      </c>
      <c r="E17" s="1">
        <f>VLOOKUP("C237",[0]!CVARS,4,FALSE)</f>
        <v>13295.25</v>
      </c>
      <c r="F17" s="1">
        <f>VLOOKUP("C237",[0]!CVARS,5,FALSE)</f>
        <v>12410.2</v>
      </c>
      <c r="G17" s="1">
        <f>VLOOKUP("C237",[0]!CVARS,6,FALSE)</f>
        <v>11324.82</v>
      </c>
      <c r="H17" s="1">
        <f>VLOOKUP("C237",[0]!CVARS,7,FALSE)</f>
        <v>10750.75</v>
      </c>
      <c r="I17" s="1">
        <f>SUM(E17:H17)</f>
        <v>47781.020000000004</v>
      </c>
      <c r="J17" t="s">
        <v>46</v>
      </c>
      <c r="K17" s="13"/>
      <c r="L17" s="13"/>
      <c r="M17" s="13"/>
    </row>
    <row r="18" spans="1:13" ht="12.75" customHeight="1">
      <c r="A18" s="16"/>
      <c r="B18" s="85" t="s">
        <v>35</v>
      </c>
      <c r="C18" s="86"/>
      <c r="D18" s="35" t="str">
        <f aca="true" t="shared" si="0" ref="D18:I20">IF(D$17&gt;0,D14/D$17,"-")</f>
        <v>-</v>
      </c>
      <c r="E18" s="35">
        <f t="shared" si="0"/>
        <v>0.0026355277260675805</v>
      </c>
      <c r="F18" s="35">
        <f t="shared" si="0"/>
        <v>0.0030974520958566335</v>
      </c>
      <c r="G18" s="35">
        <f t="shared" si="0"/>
        <v>0.003272458193596013</v>
      </c>
      <c r="H18" s="35">
        <f t="shared" si="0"/>
        <v>0.004527126014464107</v>
      </c>
      <c r="I18" s="35">
        <f t="shared" si="0"/>
        <v>0.003332076209340026</v>
      </c>
      <c r="J18" s="30" t="s">
        <v>77</v>
      </c>
      <c r="K18" s="13"/>
      <c r="L18" s="13"/>
      <c r="M18" s="13"/>
    </row>
    <row r="19" spans="1:13" ht="12.75" customHeight="1">
      <c r="A19" s="16"/>
      <c r="B19" s="85" t="s">
        <v>115</v>
      </c>
      <c r="C19" s="86"/>
      <c r="D19" s="35" t="str">
        <f t="shared" si="0"/>
        <v>-</v>
      </c>
      <c r="E19" s="35">
        <f t="shared" si="0"/>
        <v>0.42567232658280213</v>
      </c>
      <c r="F19" s="35">
        <f t="shared" si="0"/>
        <v>0.4066340590804338</v>
      </c>
      <c r="G19" s="35">
        <f t="shared" si="0"/>
        <v>0.37044120789557805</v>
      </c>
      <c r="H19" s="35">
        <f t="shared" si="0"/>
        <v>0.3942729577006255</v>
      </c>
      <c r="I19" s="35">
        <f t="shared" si="0"/>
        <v>0.40057202629830835</v>
      </c>
      <c r="J19" s="30" t="s">
        <v>77</v>
      </c>
      <c r="K19" s="13"/>
      <c r="L19" s="13"/>
      <c r="M19" s="13"/>
    </row>
    <row r="20" spans="1:13" ht="12.75" customHeight="1">
      <c r="A20" s="16"/>
      <c r="B20" s="85" t="s">
        <v>3</v>
      </c>
      <c r="C20" s="86"/>
      <c r="D20" s="35" t="str">
        <f t="shared" si="0"/>
        <v>-</v>
      </c>
      <c r="E20" s="35">
        <f t="shared" si="0"/>
        <v>0.260021436227224</v>
      </c>
      <c r="F20" s="35">
        <f t="shared" si="0"/>
        <v>0.24457945883225088</v>
      </c>
      <c r="G20" s="35">
        <f t="shared" si="0"/>
        <v>0.22794622784291493</v>
      </c>
      <c r="H20" s="35">
        <f t="shared" si="0"/>
        <v>0.17719135874241332</v>
      </c>
      <c r="I20" s="35">
        <f t="shared" si="0"/>
        <v>0.22977157038506082</v>
      </c>
      <c r="J20" s="30" t="s">
        <v>77</v>
      </c>
      <c r="K20" s="13"/>
      <c r="L20" s="13"/>
      <c r="M20" s="13"/>
    </row>
    <row r="21" spans="1:13" ht="12.75" customHeight="1">
      <c r="A21" s="16"/>
      <c r="B21" s="85" t="s">
        <v>36</v>
      </c>
      <c r="C21" s="86"/>
      <c r="D21" s="35" t="str">
        <f aca="true" t="shared" si="1" ref="D21:I21">IF(D$17&gt;0,(D14+D15+D16)/D$17,"-")</f>
        <v>-</v>
      </c>
      <c r="E21" s="35">
        <f t="shared" si="1"/>
        <v>0.6883292905360937</v>
      </c>
      <c r="F21" s="35">
        <f t="shared" si="1"/>
        <v>0.6543109700085412</v>
      </c>
      <c r="G21" s="35">
        <f t="shared" si="1"/>
        <v>0.6016598939320891</v>
      </c>
      <c r="H21" s="35">
        <f t="shared" si="1"/>
        <v>0.575991442457503</v>
      </c>
      <c r="I21" s="35">
        <f t="shared" si="1"/>
        <v>0.6336756728927092</v>
      </c>
      <c r="J21" s="30" t="s">
        <v>77</v>
      </c>
      <c r="K21" s="13"/>
      <c r="L21" s="13"/>
      <c r="M21" s="13"/>
    </row>
    <row r="22" spans="2:10" ht="15.75">
      <c r="B22" s="34"/>
      <c r="C22" s="16"/>
      <c r="D22" s="3"/>
      <c r="E22" s="3"/>
      <c r="F22" s="3"/>
      <c r="G22" s="3"/>
      <c r="H22" s="3"/>
      <c r="I22" s="3"/>
      <c r="J22" s="3"/>
    </row>
    <row r="23" ht="17.25" customHeight="1"/>
    <row r="24" ht="18">
      <c r="B24" s="45" t="s">
        <v>0</v>
      </c>
    </row>
    <row r="25" spans="2:10" ht="15.75" customHeight="1">
      <c r="B25" s="47" t="s">
        <v>216</v>
      </c>
      <c r="C25" s="16"/>
      <c r="D25" s="3"/>
      <c r="E25" s="3"/>
      <c r="F25" s="3"/>
      <c r="G25" s="3"/>
      <c r="H25" s="3"/>
      <c r="I25" s="3"/>
      <c r="J25" s="3"/>
    </row>
    <row r="26" spans="2:10" ht="15.75" customHeight="1">
      <c r="B26" s="34"/>
      <c r="C26" s="16"/>
      <c r="D26" s="3"/>
      <c r="E26" s="3"/>
      <c r="F26" s="3"/>
      <c r="G26" s="3"/>
      <c r="H26" s="3"/>
      <c r="I26" s="3"/>
      <c r="J26" s="3"/>
    </row>
    <row r="27" spans="2:10" ht="15.75" customHeight="1">
      <c r="B27" s="46"/>
      <c r="C27" s="16"/>
      <c r="D27" s="87" t="str">
        <f>[0]!LASTYEAR</f>
        <v>2017/18</v>
      </c>
      <c r="E27" s="26" t="s">
        <v>76</v>
      </c>
      <c r="F27" s="26" t="s">
        <v>140</v>
      </c>
      <c r="G27" s="26" t="s">
        <v>211</v>
      </c>
      <c r="H27" s="26" t="s">
        <v>14</v>
      </c>
      <c r="I27" s="26" t="s">
        <v>168</v>
      </c>
      <c r="J27" s="3"/>
    </row>
    <row r="28" spans="4:10" ht="15.75" customHeight="1">
      <c r="D28" s="88" t="e">
        <f>VLOOKUP("C220",[0]!CVARS,4,FALSE)</f>
        <v>#N/A</v>
      </c>
      <c r="E28" s="28" t="str">
        <f>[0]!THISYEAR</f>
        <v>2018/19</v>
      </c>
      <c r="F28" s="28" t="str">
        <f>[0]!THISYEAR</f>
        <v>2018/19</v>
      </c>
      <c r="G28" s="28" t="str">
        <f>[0]!THISYEAR</f>
        <v>2018/19</v>
      </c>
      <c r="H28" s="28" t="str">
        <f>[0]!THISYEAR</f>
        <v>2018/19</v>
      </c>
      <c r="I28" s="40" t="str">
        <f>[0]!THISYEAR</f>
        <v>2018/19</v>
      </c>
      <c r="J28" s="3"/>
    </row>
    <row r="29" spans="2:10" ht="12.75" customHeight="1">
      <c r="B29" s="89" t="s">
        <v>29</v>
      </c>
      <c r="C29" s="90"/>
      <c r="D29" s="25">
        <f>VLOOKUP("C1025",[0]!CVARS,3,FALSE)</f>
        <v>0</v>
      </c>
      <c r="E29" s="1">
        <f>VLOOKUP("C1025",[0]!CVARS,4,FALSE)</f>
        <v>48.16</v>
      </c>
      <c r="F29" s="1">
        <f>VLOOKUP("C1025",[0]!CVARS,5,FALSE)</f>
        <v>46.19</v>
      </c>
      <c r="G29" s="1">
        <f>VLOOKUP("C1025",[0]!CVARS,6,FALSE)</f>
        <v>57.34</v>
      </c>
      <c r="H29" s="1">
        <f>VLOOKUP("C1025",[0]!CVARS,7,FALSE)</f>
        <v>16.21</v>
      </c>
      <c r="I29" s="4">
        <f>SUM(E29:H29)</f>
        <v>167.9</v>
      </c>
      <c r="J29" t="s">
        <v>46</v>
      </c>
    </row>
    <row r="30" spans="2:10" ht="12.75" customHeight="1">
      <c r="B30" s="89" t="s">
        <v>121</v>
      </c>
      <c r="C30" s="90"/>
      <c r="D30" s="25">
        <f>VLOOKUP("C237",[0]!CVARS,3,FALSE)</f>
        <v>0</v>
      </c>
      <c r="E30" s="25">
        <f>VLOOKUP("C237",[0]!CVARS,4,FALSE)</f>
        <v>13295.25</v>
      </c>
      <c r="F30" s="25">
        <f>VLOOKUP("C237",[0]!CVARS,5,FALSE)</f>
        <v>12410.2</v>
      </c>
      <c r="G30" s="25">
        <f>VLOOKUP("C237",[0]!CVARS,6,FALSE)</f>
        <v>11324.82</v>
      </c>
      <c r="H30" s="25">
        <f>VLOOKUP("C237",[0]!CVARS,7,FALSE)</f>
        <v>10750.75</v>
      </c>
      <c r="I30" s="4">
        <f>SUM(E30:H30)</f>
        <v>47781.020000000004</v>
      </c>
      <c r="J30" t="s">
        <v>46</v>
      </c>
    </row>
    <row r="31" spans="2:10" ht="12.75" customHeight="1">
      <c r="B31" s="91" t="s">
        <v>78</v>
      </c>
      <c r="C31" s="92"/>
      <c r="D31" s="23" t="str">
        <f aca="true" t="shared" si="2" ref="D31:I31">IF(D30&gt;0,D29/D30,"-")</f>
        <v>-</v>
      </c>
      <c r="E31" s="23">
        <f t="shared" si="2"/>
        <v>0.003622346326695624</v>
      </c>
      <c r="F31" s="23">
        <f t="shared" si="2"/>
        <v>0.0037219384055051487</v>
      </c>
      <c r="G31" s="23">
        <f t="shared" si="2"/>
        <v>0.0050632151327791525</v>
      </c>
      <c r="H31" s="23">
        <f t="shared" si="2"/>
        <v>0.0015078017812710741</v>
      </c>
      <c r="I31" s="23">
        <f t="shared" si="2"/>
        <v>0.003513947588393885</v>
      </c>
      <c r="J31" s="30" t="s">
        <v>77</v>
      </c>
    </row>
    <row r="32" ht="35.25" customHeight="1"/>
    <row r="33" spans="2:10" ht="15.75">
      <c r="B33" s="60" t="s">
        <v>129</v>
      </c>
      <c r="C33" s="16"/>
      <c r="D33" s="3"/>
      <c r="E33" s="3"/>
      <c r="F33" s="3"/>
      <c r="G33" s="3"/>
      <c r="H33" s="3"/>
      <c r="I33" s="3"/>
      <c r="J33" s="3"/>
    </row>
    <row r="34" spans="2:10" ht="15.75">
      <c r="B34" s="34"/>
      <c r="C34" s="16"/>
      <c r="D34" s="3"/>
      <c r="E34" s="3"/>
      <c r="F34" s="3"/>
      <c r="G34" s="3"/>
      <c r="H34" s="3"/>
      <c r="I34" s="3"/>
      <c r="J34" s="3"/>
    </row>
    <row r="35" spans="2:10" ht="15.75" customHeight="1">
      <c r="B35" s="46"/>
      <c r="C35" s="16"/>
      <c r="D35" s="87" t="str">
        <f>[0]!LASTYEAR</f>
        <v>2017/18</v>
      </c>
      <c r="E35" s="26" t="s">
        <v>76</v>
      </c>
      <c r="F35" s="26" t="s">
        <v>140</v>
      </c>
      <c r="G35" s="26" t="s">
        <v>211</v>
      </c>
      <c r="H35" s="26" t="s">
        <v>14</v>
      </c>
      <c r="I35" s="26" t="s">
        <v>168</v>
      </c>
      <c r="J35" s="3"/>
    </row>
    <row r="36" spans="4:10" ht="15.75" customHeight="1">
      <c r="D36" s="88" t="e">
        <f>VLOOKUP("C220",[0]!CVARS,4,FALSE)</f>
        <v>#N/A</v>
      </c>
      <c r="E36" s="28" t="str">
        <f>[0]!THISYEAR</f>
        <v>2018/19</v>
      </c>
      <c r="F36" s="28" t="str">
        <f>[0]!THISYEAR</f>
        <v>2018/19</v>
      </c>
      <c r="G36" s="28" t="str">
        <f>[0]!THISYEAR</f>
        <v>2018/19</v>
      </c>
      <c r="H36" s="28" t="str">
        <f>[0]!THISYEAR</f>
        <v>2018/19</v>
      </c>
      <c r="I36" s="40" t="str">
        <f>[0]!THISYEAR</f>
        <v>2018/19</v>
      </c>
      <c r="J36" s="3"/>
    </row>
    <row r="37" spans="2:10" ht="15" customHeight="1">
      <c r="B37" s="89" t="s">
        <v>239</v>
      </c>
      <c r="C37" s="90"/>
      <c r="D37" s="25">
        <f>VLOOKUP("C1045",[0]!CVARS,3,FALSE)</f>
        <v>0</v>
      </c>
      <c r="E37" s="25">
        <f>VLOOKUP("C1045",[0]!CVARS,4,FALSE)</f>
        <v>4011.97</v>
      </c>
      <c r="F37" s="25">
        <f>VLOOKUP("C1045",[0]!CVARS,5,FALSE)</f>
        <v>4240.09</v>
      </c>
      <c r="G37" s="25">
        <f>VLOOKUP("C1045",[0]!CVARS,6,FALSE)</f>
        <v>4772.75</v>
      </c>
      <c r="H37" s="25">
        <f>VLOOKUP("C1045",[0]!CVARS,7,FALSE)</f>
        <v>5282.12</v>
      </c>
      <c r="I37" s="1">
        <f>SUM(E37:H37)</f>
        <v>18306.93</v>
      </c>
      <c r="J37" t="s">
        <v>46</v>
      </c>
    </row>
    <row r="38" spans="2:10" ht="12.75">
      <c r="B38" s="89" t="s">
        <v>121</v>
      </c>
      <c r="C38" s="90"/>
      <c r="D38" s="25">
        <f>VLOOKUP("C237",[0]!CVARS,3,FALSE)</f>
        <v>0</v>
      </c>
      <c r="E38" s="25">
        <f>VLOOKUP("C237",[0]!CVARS,4,FALSE)</f>
        <v>13295.25</v>
      </c>
      <c r="F38" s="25">
        <f>VLOOKUP("C237",[0]!CVARS,5,FALSE)</f>
        <v>12410.2</v>
      </c>
      <c r="G38" s="25">
        <f>VLOOKUP("C237",[0]!CVARS,6,FALSE)</f>
        <v>11324.82</v>
      </c>
      <c r="H38" s="25">
        <f>VLOOKUP("C237",[0]!CVARS,7,FALSE)</f>
        <v>10750.75</v>
      </c>
      <c r="I38" s="1">
        <f>SUM(E38:H38)</f>
        <v>47781.020000000004</v>
      </c>
      <c r="J38" t="s">
        <v>46</v>
      </c>
    </row>
    <row r="39" spans="2:10" ht="27" customHeight="1">
      <c r="B39" s="91" t="s">
        <v>98</v>
      </c>
      <c r="C39" s="92"/>
      <c r="D39" s="23" t="str">
        <f>IF(D38&gt;0,D37/D38*1000,"-")</f>
        <v>-</v>
      </c>
      <c r="E39" s="23">
        <f>IF(E38&gt;0,E37/E38,"-")</f>
        <v>0.3017596510031778</v>
      </c>
      <c r="F39" s="23">
        <f>IF(F38&gt;0,F37/F38,"-")</f>
        <v>0.34166169763581566</v>
      </c>
      <c r="G39" s="23">
        <f>IF(G38&gt;0,G37/G38,"-")</f>
        <v>0.4214415769963673</v>
      </c>
      <c r="H39" s="23">
        <f>IF(H38&gt;0,H37/H38,"-")</f>
        <v>0.4913257214612934</v>
      </c>
      <c r="I39" s="23">
        <f>IF(I38&gt;0,I37/I38,"-")</f>
        <v>0.3831423021107544</v>
      </c>
      <c r="J39" s="30" t="s">
        <v>77</v>
      </c>
    </row>
    <row r="41" ht="12.75">
      <c r="B41" s="30"/>
    </row>
  </sheetData>
  <sheetProtection sheet="1" objects="1" scenarios="1"/>
  <mergeCells count="20">
    <mergeCell ref="B38:C38"/>
    <mergeCell ref="B39:C39"/>
    <mergeCell ref="D27:D28"/>
    <mergeCell ref="B29:C29"/>
    <mergeCell ref="B30:C30"/>
    <mergeCell ref="B31:C31"/>
    <mergeCell ref="D35:D36"/>
    <mergeCell ref="B37:C37"/>
    <mergeCell ref="B16:C16"/>
    <mergeCell ref="B17:C17"/>
    <mergeCell ref="B18:C18"/>
    <mergeCell ref="B19:C19"/>
    <mergeCell ref="B20:C20"/>
    <mergeCell ref="B21:C21"/>
    <mergeCell ref="B2:M2"/>
    <mergeCell ref="B4:G4"/>
    <mergeCell ref="B6:J6"/>
    <mergeCell ref="D12:D13"/>
    <mergeCell ref="B14:C14"/>
    <mergeCell ref="B15:C15"/>
  </mergeCells>
  <printOptions/>
  <pageMargins left="0.75" right="0.75" top="1" bottom="1" header="0.5" footer="0.5"/>
  <pageSetup horizontalDpi="300" verticalDpi="300" orientation="portrait" paperSize="9" scale="61"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B1:AF54"/>
  <sheetViews>
    <sheetView showGridLines="0" zoomScale="90" zoomScaleNormal="90" zoomScalePageLayoutView="0" workbookViewId="0" topLeftCell="A1">
      <pane xSplit="1" ySplit="1" topLeftCell="B2" activePane="bottomRight" state="frozen"/>
      <selection pane="topLeft" activeCell="A1" sqref="A1"/>
      <selection pane="topRight" activeCell="B1" sqref="B1"/>
      <selection pane="bottomLeft" activeCell="A4" sqref="A4"/>
      <selection pane="bottomRight" activeCell="A1" sqref="A1"/>
    </sheetView>
  </sheetViews>
  <sheetFormatPr defaultColWidth="9.421875" defaultRowHeight="12.75"/>
  <cols>
    <col min="1" max="1" width="4.8515625" style="0" customWidth="1"/>
    <col min="2" max="2" width="11.7109375" style="0" customWidth="1"/>
    <col min="3" max="15" width="14.7109375" style="0" customWidth="1"/>
    <col min="16" max="19" width="10.7109375" style="0" customWidth="1"/>
  </cols>
  <sheetData>
    <row r="1" ht="18">
      <c r="B1" s="48" t="s">
        <v>79</v>
      </c>
    </row>
    <row r="2" spans="2:7" ht="15.75">
      <c r="B2" s="56" t="s">
        <v>112</v>
      </c>
      <c r="C2" s="16"/>
      <c r="D2" s="3"/>
      <c r="E2" s="3"/>
      <c r="F2" s="3"/>
      <c r="G2" s="3"/>
    </row>
    <row r="3" spans="2:7" ht="15.75">
      <c r="B3" s="56"/>
      <c r="C3" s="16"/>
      <c r="D3" s="3"/>
      <c r="E3" s="3"/>
      <c r="F3" s="3"/>
      <c r="G3" s="3"/>
    </row>
    <row r="4" spans="2:15" ht="12.75">
      <c r="B4" s="43" t="s">
        <v>144</v>
      </c>
      <c r="I4" s="10"/>
      <c r="J4" s="10"/>
      <c r="K4" s="10"/>
      <c r="L4" s="10"/>
      <c r="M4" s="10"/>
      <c r="N4" s="10"/>
      <c r="O4" s="10"/>
    </row>
    <row r="5" spans="9:15" ht="12.75">
      <c r="I5" s="10"/>
      <c r="J5" s="10"/>
      <c r="K5" s="10"/>
      <c r="L5" s="10"/>
      <c r="M5" s="10"/>
      <c r="N5" s="10"/>
      <c r="O5" s="10"/>
    </row>
    <row r="6" spans="2:15" ht="12.75" customHeight="1">
      <c r="B6" s="22" t="s">
        <v>114</v>
      </c>
      <c r="C6" s="18"/>
      <c r="D6" s="18"/>
      <c r="E6" s="18"/>
      <c r="F6" s="18"/>
      <c r="I6" s="10"/>
      <c r="J6" s="10"/>
      <c r="K6" s="10"/>
      <c r="L6" s="10"/>
      <c r="M6" s="10"/>
      <c r="N6" s="10"/>
      <c r="O6" s="10"/>
    </row>
    <row r="8" spans="2:16" s="3" customFormat="1" ht="12.75">
      <c r="B8" s="41"/>
      <c r="C8" s="5" t="s">
        <v>81</v>
      </c>
      <c r="D8" s="5" t="s">
        <v>145</v>
      </c>
      <c r="E8" s="5" t="s">
        <v>99</v>
      </c>
      <c r="F8" s="29" t="s">
        <v>174</v>
      </c>
      <c r="G8" s="5" t="s">
        <v>228</v>
      </c>
      <c r="H8" s="29" t="s">
        <v>217</v>
      </c>
      <c r="I8" s="10"/>
      <c r="J8" s="10"/>
      <c r="K8" s="10"/>
      <c r="L8" s="10"/>
      <c r="M8" s="10"/>
      <c r="N8" s="10"/>
      <c r="O8" s="10"/>
      <c r="P8" s="10"/>
    </row>
    <row r="9" spans="2:16" s="3" customFormat="1" ht="71.25" customHeight="1">
      <c r="B9" s="41"/>
      <c r="C9" s="2" t="str">
        <f aca="true" t="shared" si="0" ref="C9:H9">VLOOKUP(C8,CVARS,2,0)</f>
        <v>Q10, 11, 12, 16, 17, 33, 34 Collected For Reuse (excl. green, other compost and rubble)</v>
      </c>
      <c r="D9" s="2" t="str">
        <f t="shared" si="0"/>
        <v>Q10, 11, 12, 16, 17, 33, 34 Rejected For Reuse (excl. green, other compost and rubble)</v>
      </c>
      <c r="E9" s="2" t="str">
        <f t="shared" si="0"/>
        <v>Q35 Rejected (excl Green, other compost and rubble)</v>
      </c>
      <c r="F9" s="2" t="str">
        <f t="shared" si="0"/>
        <v>Q11 Rejected For Reuse (excluding green, other compost &amp; rubble )</v>
      </c>
      <c r="G9" s="2" t="str">
        <f t="shared" si="0"/>
        <v>Q11 Collected For Reuse (excluding green, other compost &amp; rubble )</v>
      </c>
      <c r="H9" s="2" t="str">
        <f t="shared" si="0"/>
        <v>Municipal Dry Waste Reused</v>
      </c>
      <c r="I9" s="10"/>
      <c r="J9" s="10"/>
      <c r="K9" s="10"/>
      <c r="L9" s="10"/>
      <c r="M9" s="10"/>
      <c r="N9" s="10"/>
      <c r="O9" s="10"/>
      <c r="P9" s="10"/>
    </row>
    <row r="10" spans="2:16" ht="12.75">
      <c r="B10" s="41" t="s">
        <v>76</v>
      </c>
      <c r="C10" s="57">
        <f>VLOOKUP(C8,[0]!CVARS,4,FALSE)</f>
        <v>179.9</v>
      </c>
      <c r="D10" s="19">
        <f>VLOOKUP(D8,[0]!CVARS,4,FALSE)</f>
        <v>0</v>
      </c>
      <c r="E10" s="19">
        <f>VLOOKUP(E8,[0]!CVARS,4,FALSE)</f>
        <v>45.28</v>
      </c>
      <c r="F10" s="19">
        <f>VLOOKUP(F8,[0]!CVARS,4,FALSE)</f>
        <v>0</v>
      </c>
      <c r="G10" s="19">
        <f>VLOOKUP(G8,[0]!CVARS,4,FALSE)</f>
        <v>0</v>
      </c>
      <c r="H10" s="53">
        <f>VLOOKUP(H8,[0]!CVARS,4,FALSE)</f>
        <v>134.62</v>
      </c>
      <c r="I10" s="10"/>
      <c r="J10" s="10"/>
      <c r="K10" s="10"/>
      <c r="L10" s="10"/>
      <c r="M10" s="10"/>
      <c r="N10" s="10"/>
      <c r="O10" s="10"/>
      <c r="P10" s="10"/>
    </row>
    <row r="11" spans="2:16" ht="12.75">
      <c r="B11" s="41" t="s">
        <v>140</v>
      </c>
      <c r="C11" s="52">
        <f>VLOOKUP(C8,[0]!CVARS,5,FALSE)</f>
        <v>160.87</v>
      </c>
      <c r="D11" s="20">
        <f>VLOOKUP(D8,[0]!CVARS,5,FALSE)</f>
        <v>0</v>
      </c>
      <c r="E11" s="20">
        <f>VLOOKUP(E8,[0]!CVARS,5,FALSE)</f>
        <v>45.61</v>
      </c>
      <c r="F11" s="20">
        <f>VLOOKUP(F8,[0]!CVARS,5,FALSE)</f>
        <v>0</v>
      </c>
      <c r="G11" s="20">
        <f>VLOOKUP(G8,[0]!CVARS,5,FALSE)</f>
        <v>0</v>
      </c>
      <c r="H11" s="51">
        <f>VLOOKUP(H8,[0]!CVARS,5,FALSE)</f>
        <v>115.26</v>
      </c>
      <c r="I11" s="10"/>
      <c r="J11" s="10"/>
      <c r="K11" s="10"/>
      <c r="L11" s="10"/>
      <c r="M11" s="10"/>
      <c r="N11" s="10"/>
      <c r="O11" s="10"/>
      <c r="P11" s="10"/>
    </row>
    <row r="12" spans="2:16" ht="12.75">
      <c r="B12" s="41" t="s">
        <v>211</v>
      </c>
      <c r="C12" s="52">
        <f>VLOOKUP(C8,[0]!CVARS,6,FALSE)</f>
        <v>166.18</v>
      </c>
      <c r="D12" s="20">
        <f>VLOOKUP(D8,[0]!CVARS,6,FALSE)</f>
        <v>0</v>
      </c>
      <c r="E12" s="20">
        <f>VLOOKUP(E8,[0]!CVARS,6,FALSE)</f>
        <v>55.92</v>
      </c>
      <c r="F12" s="20">
        <f>VLOOKUP(F8,[0]!CVARS,6,FALSE)</f>
        <v>0</v>
      </c>
      <c r="G12" s="20">
        <f>VLOOKUP(G8,[0]!CVARS,6,FALSE)</f>
        <v>0</v>
      </c>
      <c r="H12" s="51">
        <f>VLOOKUP(H8,[0]!CVARS,6,FALSE)</f>
        <v>110.26</v>
      </c>
      <c r="I12" s="10"/>
      <c r="J12" s="10"/>
      <c r="K12" s="10"/>
      <c r="L12" s="10"/>
      <c r="M12" s="10"/>
      <c r="N12" s="10"/>
      <c r="O12" s="10"/>
      <c r="P12" s="10"/>
    </row>
    <row r="13" spans="2:16" ht="12.75">
      <c r="B13" s="41" t="s">
        <v>14</v>
      </c>
      <c r="C13" s="52">
        <f>VLOOKUP(C8,[0]!CVARS,7,FALSE)</f>
        <v>183.71</v>
      </c>
      <c r="D13" s="20">
        <f>VLOOKUP(D8,[0]!CVARS,7,FALSE)</f>
        <v>0</v>
      </c>
      <c r="E13" s="20">
        <f>VLOOKUP(E8,[0]!CVARS,7,FALSE)</f>
        <v>59.84</v>
      </c>
      <c r="F13" s="20">
        <f>VLOOKUP(F8,[0]!CVARS,7,FALSE)</f>
        <v>0</v>
      </c>
      <c r="G13" s="20">
        <f>VLOOKUP(G8,[0]!CVARS,7,FALSE)</f>
        <v>0</v>
      </c>
      <c r="H13" s="51">
        <f>VLOOKUP(H8,[0]!CVARS,7,FALSE)</f>
        <v>123.87</v>
      </c>
      <c r="I13" s="10"/>
      <c r="J13" s="10"/>
      <c r="K13" s="10"/>
      <c r="L13" s="10"/>
      <c r="M13" s="10"/>
      <c r="N13" s="10"/>
      <c r="O13" s="10"/>
      <c r="P13" s="10"/>
    </row>
    <row r="14" spans="2:16" ht="12.75">
      <c r="B14" s="41" t="s">
        <v>141</v>
      </c>
      <c r="C14" s="50">
        <f aca="true" t="shared" si="1" ref="C14:H14">SUM(C10:C13)</f>
        <v>690.66</v>
      </c>
      <c r="D14" s="17">
        <f t="shared" si="1"/>
        <v>0</v>
      </c>
      <c r="E14" s="17">
        <f t="shared" si="1"/>
        <v>206.65</v>
      </c>
      <c r="F14" s="17">
        <f t="shared" si="1"/>
        <v>0</v>
      </c>
      <c r="G14" s="17">
        <f t="shared" si="1"/>
        <v>0</v>
      </c>
      <c r="H14" s="54">
        <f t="shared" si="1"/>
        <v>484.01</v>
      </c>
      <c r="I14" s="10"/>
      <c r="J14" s="10"/>
      <c r="K14" s="10"/>
      <c r="L14" s="10"/>
      <c r="M14" s="10"/>
      <c r="N14" s="10"/>
      <c r="O14" s="10"/>
      <c r="P14" s="10"/>
    </row>
    <row r="15" spans="2:19" ht="12.75">
      <c r="B15" s="16"/>
      <c r="C15" s="6"/>
      <c r="D15" s="6"/>
      <c r="E15" s="6"/>
      <c r="F15" s="6"/>
      <c r="G15" s="6"/>
      <c r="H15" s="6"/>
      <c r="I15" s="6"/>
      <c r="J15" s="6"/>
      <c r="K15" s="6"/>
      <c r="L15" s="6"/>
      <c r="M15" s="6"/>
      <c r="N15" s="6"/>
      <c r="O15" s="6"/>
      <c r="P15" s="6"/>
      <c r="Q15" s="6"/>
      <c r="R15" s="6"/>
      <c r="S15" s="6"/>
    </row>
    <row r="16" spans="2:19" ht="12.75">
      <c r="B16" s="22" t="s">
        <v>50</v>
      </c>
      <c r="C16" s="18"/>
      <c r="D16" s="18"/>
      <c r="E16" s="18"/>
      <c r="F16" s="18"/>
      <c r="I16" s="10"/>
      <c r="J16" s="10"/>
      <c r="K16" s="10"/>
      <c r="L16" s="10"/>
      <c r="M16" s="10"/>
      <c r="N16" s="10"/>
      <c r="O16" s="10"/>
      <c r="Q16" s="6"/>
      <c r="R16" s="6"/>
      <c r="S16" s="6"/>
    </row>
    <row r="17" spans="17:19" ht="12.75">
      <c r="Q17" s="6"/>
      <c r="R17" s="6"/>
      <c r="S17" s="6"/>
    </row>
    <row r="18" spans="2:19" ht="12.75">
      <c r="B18" s="41"/>
      <c r="C18" s="5" t="s">
        <v>186</v>
      </c>
      <c r="D18" s="5" t="s">
        <v>241</v>
      </c>
      <c r="E18" s="5" t="s">
        <v>111</v>
      </c>
      <c r="F18" s="29" t="s">
        <v>187</v>
      </c>
      <c r="G18" s="5" t="s">
        <v>240</v>
      </c>
      <c r="H18" s="5" t="s">
        <v>48</v>
      </c>
      <c r="I18" s="5" t="s">
        <v>15</v>
      </c>
      <c r="J18" s="5" t="s">
        <v>33</v>
      </c>
      <c r="K18" s="5" t="s">
        <v>214</v>
      </c>
      <c r="L18" s="29" t="s">
        <v>227</v>
      </c>
      <c r="M18" s="29" t="s">
        <v>124</v>
      </c>
      <c r="N18" s="67" t="s">
        <v>126</v>
      </c>
      <c r="O18" s="29" t="s">
        <v>125</v>
      </c>
      <c r="P18" s="6"/>
      <c r="Q18" s="6"/>
      <c r="R18" s="6"/>
      <c r="S18" s="6"/>
    </row>
    <row r="19" spans="2:19" ht="60" customHeight="1">
      <c r="B19" s="41"/>
      <c r="C19" s="2" t="str">
        <f aca="true" t="shared" si="2" ref="C19:O19">VLOOKUP(C18,CVARS,2,0)</f>
        <v>Q10,12, 16, 17, 33, 34 Collected For Recycling (excl green, other compost, rubble)</v>
      </c>
      <c r="D19" s="2" t="str">
        <f t="shared" si="2"/>
        <v>Q10,12, 16, 17, 33, 34 HH Rejected For Recycling (excl green, other compost, rubble)</v>
      </c>
      <c r="E19" s="2" t="str">
        <f t="shared" si="2"/>
        <v>Q11 NH Collected For Recycling (excl green, other compost, rubble)</v>
      </c>
      <c r="F19" s="2" t="str">
        <f t="shared" si="2"/>
        <v>Q11 NH Rejected For Recycling (excl green, other compost, rubble)</v>
      </c>
      <c r="G19" s="2" t="str">
        <f t="shared" si="2"/>
        <v>Q19 Rejected (excl green, other compost, rubble)</v>
      </c>
      <c r="H19" s="2" t="str">
        <f t="shared" si="2"/>
        <v>Q58 Total Rejected to Landfill and Energy Recovery</v>
      </c>
      <c r="I19" s="2" t="str">
        <f t="shared" si="2"/>
        <v>Q56, 57, 59, 60, 64, 65 Diverted For Recycling</v>
      </c>
      <c r="J19" s="2" t="str">
        <f t="shared" si="2"/>
        <v>Q18 Recycling (skips and other waste)</v>
      </c>
      <c r="K19" s="2" t="str">
        <f t="shared" si="2"/>
        <v>Q58 Diverted For Recycling</v>
      </c>
      <c r="L19" s="2" t="str">
        <f t="shared" si="2"/>
        <v>Q54, 55 Metal Recycled</v>
      </c>
      <c r="M19" s="2" t="str">
        <f t="shared" si="2"/>
        <v>Q100 Tonnes for Recycling from non-Primary MRF</v>
      </c>
      <c r="N19" s="2" t="str">
        <f t="shared" si="2"/>
        <v>Q100 Metal Recycled from non-Primary EFW facility</v>
      </c>
      <c r="O19" s="2" t="str">
        <f t="shared" si="2"/>
        <v>Municipal Dry Waste Recycled</v>
      </c>
      <c r="P19" s="6"/>
      <c r="Q19" s="6"/>
      <c r="R19" s="6"/>
      <c r="S19" s="6"/>
    </row>
    <row r="20" spans="2:19" ht="12.75">
      <c r="B20" s="41" t="s">
        <v>76</v>
      </c>
      <c r="C20" s="57">
        <f>VLOOKUP(C18,[0]!CVARS,4,FALSE)</f>
        <v>3970.33</v>
      </c>
      <c r="D20" s="19">
        <f>VLOOKUP(D18,[0]!CVARS,4,FALSE)</f>
        <v>0</v>
      </c>
      <c r="E20" s="19">
        <f>VLOOKUP(E18,[0]!CVARS,4,FALSE)</f>
        <v>0</v>
      </c>
      <c r="F20" s="19">
        <f>VLOOKUP(F18,[0]!CVARS,4,FALSE)</f>
        <v>0</v>
      </c>
      <c r="G20" s="19">
        <f>VLOOKUP(G18,[0]!CVARS,4,FALSE)</f>
        <v>0</v>
      </c>
      <c r="H20" s="19">
        <f>VLOOKUP(H18,[0]!CVARS,4,FALSE)</f>
        <v>211.05</v>
      </c>
      <c r="I20" s="19">
        <f>VLOOKUP(I18,[0]!CVARS,4,FALSE)</f>
        <v>24.34</v>
      </c>
      <c r="J20" s="19">
        <f>VLOOKUP(J18,[0]!CVARS,4,FALSE)</f>
        <v>0</v>
      </c>
      <c r="K20" s="19">
        <f>VLOOKUP(K18,[0]!CVARS,4,FALSE)</f>
        <v>2275</v>
      </c>
      <c r="L20" s="19">
        <f>VLOOKUP(L18,[0]!CVARS,4,FALSE)</f>
        <v>0</v>
      </c>
      <c r="M20" s="19">
        <f>VLOOKUP(M18,[0]!CVARS,4,FALSE)</f>
        <v>0</v>
      </c>
      <c r="N20" s="19">
        <f>VLOOKUP(N18,[0]!CVARS,4,FALSE)</f>
        <v>0.58</v>
      </c>
      <c r="O20" s="53">
        <f>VLOOKUP(O18,[0]!CVARS,4,FALSE)</f>
        <v>3784.2</v>
      </c>
      <c r="P20" s="6"/>
      <c r="Q20" s="6"/>
      <c r="R20" s="6"/>
      <c r="S20" s="6"/>
    </row>
    <row r="21" spans="2:19" ht="12.75">
      <c r="B21" s="41" t="s">
        <v>140</v>
      </c>
      <c r="C21" s="52">
        <f>VLOOKUP(C18,[0]!CVARS,5,FALSE)</f>
        <v>3840.15</v>
      </c>
      <c r="D21" s="20">
        <f>VLOOKUP(D18,[0]!CVARS,5,FALSE)</f>
        <v>0</v>
      </c>
      <c r="E21" s="20">
        <f>VLOOKUP(E18,[0]!CVARS,5,FALSE)</f>
        <v>0</v>
      </c>
      <c r="F21" s="20">
        <f>VLOOKUP(F18,[0]!CVARS,5,FALSE)</f>
        <v>0</v>
      </c>
      <c r="G21" s="20">
        <f>VLOOKUP(G18,[0]!CVARS,5,FALSE)</f>
        <v>0</v>
      </c>
      <c r="H21" s="20">
        <f>VLOOKUP(H18,[0]!CVARS,5,FALSE)</f>
        <v>247.24</v>
      </c>
      <c r="I21" s="20">
        <f>VLOOKUP(I18,[0]!CVARS,5,FALSE)</f>
        <v>48.79</v>
      </c>
      <c r="J21" s="20">
        <f>VLOOKUP(J18,[0]!CVARS,5,FALSE)</f>
        <v>0</v>
      </c>
      <c r="K21" s="20">
        <f>VLOOKUP(K18,[0]!CVARS,5,FALSE)</f>
        <v>2156.78</v>
      </c>
      <c r="L21" s="20">
        <f>VLOOKUP(L18,[0]!CVARS,5,FALSE)</f>
        <v>0</v>
      </c>
      <c r="M21" s="20">
        <f>VLOOKUP(M18,[0]!CVARS,5,FALSE)</f>
        <v>0</v>
      </c>
      <c r="N21" s="20">
        <f>VLOOKUP(N18,[0]!CVARS,5,FALSE)</f>
        <v>0.49</v>
      </c>
      <c r="O21" s="51">
        <f>VLOOKUP(O18,[0]!CVARS,5,FALSE)</f>
        <v>3642.19</v>
      </c>
      <c r="P21" s="6"/>
      <c r="Q21" s="6"/>
      <c r="R21" s="6"/>
      <c r="S21" s="6"/>
    </row>
    <row r="22" spans="2:19" ht="12.75">
      <c r="B22" s="41" t="s">
        <v>211</v>
      </c>
      <c r="C22" s="52">
        <f>VLOOKUP(C18,[0]!CVARS,6,FALSE)</f>
        <v>3501.12</v>
      </c>
      <c r="D22" s="20">
        <f>VLOOKUP(D18,[0]!CVARS,6,FALSE)</f>
        <v>0</v>
      </c>
      <c r="E22" s="20">
        <f>VLOOKUP(E18,[0]!CVARS,6,FALSE)</f>
        <v>0</v>
      </c>
      <c r="F22" s="20">
        <f>VLOOKUP(F18,[0]!CVARS,6,FALSE)</f>
        <v>0</v>
      </c>
      <c r="G22" s="20">
        <f>VLOOKUP(G18,[0]!CVARS,6,FALSE)</f>
        <v>0</v>
      </c>
      <c r="H22" s="20">
        <f>VLOOKUP(H18,[0]!CVARS,6,FALSE)</f>
        <v>278.22</v>
      </c>
      <c r="I22" s="20">
        <f>VLOOKUP(I18,[0]!CVARS,6,FALSE)</f>
        <v>0</v>
      </c>
      <c r="J22" s="20">
        <f>VLOOKUP(J18,[0]!CVARS,6,FALSE)</f>
        <v>0</v>
      </c>
      <c r="K22" s="20">
        <f>VLOOKUP(K18,[0]!CVARS,6,FALSE)</f>
        <v>2091.08</v>
      </c>
      <c r="L22" s="20">
        <f>VLOOKUP(L18,[0]!CVARS,6,FALSE)</f>
        <v>84.04</v>
      </c>
      <c r="M22" s="20">
        <f>VLOOKUP(M18,[0]!CVARS,6,FALSE)</f>
        <v>0</v>
      </c>
      <c r="N22" s="20">
        <f>VLOOKUP(N18,[0]!CVARS,6,FALSE)</f>
        <v>1.98</v>
      </c>
      <c r="O22" s="51">
        <f>VLOOKUP(O18,[0]!CVARS,6,FALSE)</f>
        <v>3308.92</v>
      </c>
      <c r="P22" s="6"/>
      <c r="Q22" s="6"/>
      <c r="R22" s="6"/>
      <c r="S22" s="6"/>
    </row>
    <row r="23" spans="2:19" ht="12.75">
      <c r="B23" s="41" t="s">
        <v>14</v>
      </c>
      <c r="C23" s="52">
        <f>VLOOKUP(C18,[0]!CVARS,7,FALSE)</f>
        <v>3633.98</v>
      </c>
      <c r="D23" s="20">
        <f>VLOOKUP(D18,[0]!CVARS,7,FALSE)</f>
        <v>0</v>
      </c>
      <c r="E23" s="20">
        <f>VLOOKUP(E18,[0]!CVARS,7,FALSE)</f>
        <v>0</v>
      </c>
      <c r="F23" s="20">
        <f>VLOOKUP(F18,[0]!CVARS,7,FALSE)</f>
        <v>0</v>
      </c>
      <c r="G23" s="20">
        <f>VLOOKUP(G18,[0]!CVARS,7,FALSE)</f>
        <v>0</v>
      </c>
      <c r="H23" s="20">
        <f>VLOOKUP(H18,[0]!CVARS,7,FALSE)</f>
        <v>382.17</v>
      </c>
      <c r="I23" s="20">
        <f>VLOOKUP(I18,[0]!CVARS,7,FALSE)</f>
        <v>0</v>
      </c>
      <c r="J23" s="20">
        <f>VLOOKUP(J18,[0]!CVARS,7,FALSE)</f>
        <v>0</v>
      </c>
      <c r="K23" s="20">
        <f>VLOOKUP(K18,[0]!CVARS,7,FALSE)</f>
        <v>1900.67</v>
      </c>
      <c r="L23" s="20">
        <f>VLOOKUP(L18,[0]!CVARS,7,FALSE)</f>
        <v>0</v>
      </c>
      <c r="M23" s="20">
        <f>VLOOKUP(M18,[0]!CVARS,7,FALSE)</f>
        <v>0</v>
      </c>
      <c r="N23" s="20">
        <f>VLOOKUP(N18,[0]!CVARS,7,FALSE)</f>
        <v>1.19</v>
      </c>
      <c r="O23" s="51">
        <f>VLOOKUP(O18,[0]!CVARS,7,FALSE)</f>
        <v>3253</v>
      </c>
      <c r="P23" s="6"/>
      <c r="Q23" s="6"/>
      <c r="R23" s="6"/>
      <c r="S23" s="6"/>
    </row>
    <row r="24" spans="2:19" ht="12.75">
      <c r="B24" s="41" t="s">
        <v>141</v>
      </c>
      <c r="C24" s="50">
        <f aca="true" t="shared" si="3" ref="C24:O24">SUM(C20:C23)</f>
        <v>14945.579999999998</v>
      </c>
      <c r="D24" s="17">
        <f t="shared" si="3"/>
        <v>0</v>
      </c>
      <c r="E24" s="17">
        <f t="shared" si="3"/>
        <v>0</v>
      </c>
      <c r="F24" s="17">
        <f t="shared" si="3"/>
        <v>0</v>
      </c>
      <c r="G24" s="17">
        <f t="shared" si="3"/>
        <v>0</v>
      </c>
      <c r="H24" s="17">
        <f t="shared" si="3"/>
        <v>1118.68</v>
      </c>
      <c r="I24" s="17">
        <f t="shared" si="3"/>
        <v>73.13</v>
      </c>
      <c r="J24" s="17">
        <f t="shared" si="3"/>
        <v>0</v>
      </c>
      <c r="K24" s="17">
        <f t="shared" si="3"/>
        <v>8423.53</v>
      </c>
      <c r="L24" s="17">
        <f t="shared" si="3"/>
        <v>84.04</v>
      </c>
      <c r="M24" s="17">
        <f t="shared" si="3"/>
        <v>0</v>
      </c>
      <c r="N24" s="17">
        <f t="shared" si="3"/>
        <v>4.24</v>
      </c>
      <c r="O24" s="54">
        <f t="shared" si="3"/>
        <v>13988.31</v>
      </c>
      <c r="P24" s="6"/>
      <c r="Q24" s="6"/>
      <c r="R24" s="6"/>
      <c r="S24" s="6"/>
    </row>
    <row r="25" spans="3:16" ht="12.75">
      <c r="C25" s="6"/>
      <c r="D25" s="6"/>
      <c r="E25" s="6"/>
      <c r="F25" s="6"/>
      <c r="G25" s="6"/>
      <c r="H25" s="6"/>
      <c r="I25" s="6"/>
      <c r="J25" s="6"/>
      <c r="K25" s="6"/>
      <c r="L25" s="6"/>
      <c r="M25" s="6"/>
      <c r="N25" s="6"/>
      <c r="O25" s="6"/>
      <c r="P25" s="6"/>
    </row>
    <row r="26" spans="2:16" ht="12.75">
      <c r="B26" s="22" t="s">
        <v>150</v>
      </c>
      <c r="C26" s="6"/>
      <c r="D26" s="6"/>
      <c r="E26" s="6"/>
      <c r="F26" s="6"/>
      <c r="G26" s="6"/>
      <c r="H26" s="6"/>
      <c r="I26" s="6"/>
      <c r="J26" s="6"/>
      <c r="K26" s="6"/>
      <c r="L26" s="6"/>
      <c r="M26" s="6"/>
      <c r="N26" s="6"/>
      <c r="O26" s="6"/>
      <c r="P26" s="6"/>
    </row>
    <row r="27" spans="2:16" ht="12.75">
      <c r="B27" s="22"/>
      <c r="C27" s="6"/>
      <c r="D27" s="6"/>
      <c r="E27" s="6"/>
      <c r="F27" s="6"/>
      <c r="G27" s="6"/>
      <c r="H27" s="6"/>
      <c r="I27" s="6"/>
      <c r="J27" s="6"/>
      <c r="K27" s="6"/>
      <c r="L27" s="6"/>
      <c r="M27" s="6"/>
      <c r="N27" s="6"/>
      <c r="O27" s="6"/>
      <c r="P27" s="6"/>
    </row>
    <row r="28" spans="2:11" ht="12.75">
      <c r="B28" s="41"/>
      <c r="C28" s="5" t="s">
        <v>16</v>
      </c>
      <c r="D28" s="5" t="s">
        <v>82</v>
      </c>
      <c r="E28" s="5" t="s">
        <v>147</v>
      </c>
      <c r="F28" s="5" t="s">
        <v>213</v>
      </c>
      <c r="G28" s="29" t="s">
        <v>17</v>
      </c>
      <c r="H28" s="5" t="s">
        <v>148</v>
      </c>
      <c r="I28" s="5" t="s">
        <v>100</v>
      </c>
      <c r="J28" s="5" t="s">
        <v>173</v>
      </c>
      <c r="K28" s="5" t="s">
        <v>195</v>
      </c>
    </row>
    <row r="29" spans="2:11" ht="60" customHeight="1">
      <c r="B29" s="41"/>
      <c r="C29" s="2" t="str">
        <f aca="true" t="shared" si="4" ref="C29:K29">VLOOKUP(C28,CVARS,2,0)</f>
        <v>Q10, 12, 16, 17, 33, 34 Green and other Compostable Collected For Recycling</v>
      </c>
      <c r="D29" s="2" t="str">
        <f t="shared" si="4"/>
        <v>Q10, 12, 16, 17, 33, 34 Green and other Compostable Rejected For Recycling</v>
      </c>
      <c r="E29" s="2" t="str">
        <f t="shared" si="4"/>
        <v>Q11 Green and other Compostable Collected For Recycling</v>
      </c>
      <c r="F29" s="2" t="str">
        <f t="shared" si="4"/>
        <v>Q11 Green and other Compostable Rejected For Recycling</v>
      </c>
      <c r="G29" s="2" t="str">
        <f t="shared" si="4"/>
        <v>Q19 Green and other Compostable Rejected</v>
      </c>
      <c r="H29" s="2" t="str">
        <f t="shared" si="4"/>
        <v>Q18 Parks and Grounds Waste Collected (Q18 row 1)</v>
      </c>
      <c r="I29" s="2" t="str">
        <f t="shared" si="4"/>
        <v>Q61, 62, 63 Rejected To Landfill</v>
      </c>
      <c r="J29" s="2" t="str">
        <f t="shared" si="4"/>
        <v>Q35 Green and other Compostable Rejected</v>
      </c>
      <c r="K29" s="2" t="str">
        <f t="shared" si="4"/>
        <v>Municipal Waste Composted</v>
      </c>
    </row>
    <row r="30" spans="2:11" ht="12.75">
      <c r="B30" s="41" t="s">
        <v>76</v>
      </c>
      <c r="C30" s="1">
        <f>VLOOKUP(C28,[0]!CVARS,4,FALSE)</f>
        <v>3427.2</v>
      </c>
      <c r="D30" s="1">
        <f>VLOOKUP(D28,[0]!CVARS,4,FALSE)</f>
        <v>0</v>
      </c>
      <c r="E30" s="1">
        <f>VLOOKUP(E28,[0]!CVARS,4,FALSE)</f>
        <v>0</v>
      </c>
      <c r="F30" s="1">
        <f>VLOOKUP(F28,[0]!CVARS,4,FALSE)</f>
        <v>0</v>
      </c>
      <c r="G30" s="1">
        <f>VLOOKUP(G28,[0]!CVARS,4,FALSE)</f>
        <v>4.23</v>
      </c>
      <c r="H30" s="1">
        <f>VLOOKUP(H28,[0]!CVARS,4,FALSE)</f>
        <v>53.78</v>
      </c>
      <c r="I30" s="1">
        <f>VLOOKUP(I28,[0]!CVARS,4,FALSE)</f>
        <v>19.7</v>
      </c>
      <c r="J30" s="1">
        <f>VLOOKUP(J28,[0]!CVARS,4,FALSE)</f>
        <v>0</v>
      </c>
      <c r="K30" s="1">
        <f>VLOOKUP(K28,[0]!CVARS,4,FALSE)</f>
        <v>3457.05</v>
      </c>
    </row>
    <row r="31" spans="2:11" ht="12.75">
      <c r="B31" s="41" t="s">
        <v>140</v>
      </c>
      <c r="C31" s="1">
        <f>VLOOKUP(C28,[0]!CVARS,5,FALSE)</f>
        <v>3010.88</v>
      </c>
      <c r="D31" s="1">
        <f>VLOOKUP(D28,[0]!CVARS,5,FALSE)</f>
        <v>0</v>
      </c>
      <c r="E31" s="1">
        <f>VLOOKUP(E28,[0]!CVARS,5,FALSE)</f>
        <v>0</v>
      </c>
      <c r="F31" s="1">
        <f>VLOOKUP(F28,[0]!CVARS,5,FALSE)</f>
        <v>0</v>
      </c>
      <c r="G31" s="1">
        <f>VLOOKUP(G28,[0]!CVARS,5,FALSE)</f>
        <v>0</v>
      </c>
      <c r="H31" s="1">
        <f>VLOOKUP(H28,[0]!CVARS,5,FALSE)</f>
        <v>46.18</v>
      </c>
      <c r="I31" s="1">
        <f>VLOOKUP(I28,[0]!CVARS,5,FALSE)</f>
        <v>18.36</v>
      </c>
      <c r="J31" s="1">
        <f>VLOOKUP(J28,[0]!CVARS,5,FALSE)</f>
        <v>0</v>
      </c>
      <c r="K31" s="1">
        <f>VLOOKUP(K28,[0]!CVARS,5,FALSE)</f>
        <v>3038.7</v>
      </c>
    </row>
    <row r="32" spans="2:11" ht="12.75">
      <c r="B32" s="41" t="s">
        <v>211</v>
      </c>
      <c r="C32" s="1">
        <f>VLOOKUP(C28,[0]!CVARS,6,FALSE)</f>
        <v>2529.26</v>
      </c>
      <c r="D32" s="1">
        <f>VLOOKUP(D28,[0]!CVARS,6,FALSE)</f>
        <v>0</v>
      </c>
      <c r="E32" s="1">
        <f>VLOOKUP(E28,[0]!CVARS,6,FALSE)</f>
        <v>0</v>
      </c>
      <c r="F32" s="1">
        <f>VLOOKUP(F28,[0]!CVARS,6,FALSE)</f>
        <v>0</v>
      </c>
      <c r="G32" s="1">
        <f>VLOOKUP(G28,[0]!CVARS,6,FALSE)</f>
        <v>0</v>
      </c>
      <c r="H32" s="1">
        <f>VLOOKUP(H28,[0]!CVARS,6,FALSE)</f>
        <v>75.06</v>
      </c>
      <c r="I32" s="1">
        <f>VLOOKUP(I28,[0]!CVARS,6,FALSE)</f>
        <v>17.64</v>
      </c>
      <c r="J32" s="1">
        <f>VLOOKUP(J28,[0]!CVARS,6,FALSE)</f>
        <v>0</v>
      </c>
      <c r="K32" s="1">
        <f>VLOOKUP(K28,[0]!CVARS,6,FALSE)</f>
        <v>2586.68</v>
      </c>
    </row>
    <row r="33" spans="2:11" ht="12.75">
      <c r="B33" s="41" t="s">
        <v>14</v>
      </c>
      <c r="C33" s="1">
        <f>VLOOKUP(C28,[0]!CVARS,7,FALSE)</f>
        <v>1877.1</v>
      </c>
      <c r="D33" s="1">
        <f>VLOOKUP(D28,[0]!CVARS,7,FALSE)</f>
        <v>0</v>
      </c>
      <c r="E33" s="1">
        <f>VLOOKUP(E28,[0]!CVARS,7,FALSE)</f>
        <v>0</v>
      </c>
      <c r="F33" s="1">
        <f>VLOOKUP(F28,[0]!CVARS,7,FALSE)</f>
        <v>0</v>
      </c>
      <c r="G33" s="1">
        <f>VLOOKUP(G28,[0]!CVARS,7,FALSE)</f>
        <v>0</v>
      </c>
      <c r="H33" s="1">
        <f>VLOOKUP(H28,[0]!CVARS,7,FALSE)</f>
        <v>47.1</v>
      </c>
      <c r="I33" s="1">
        <f>VLOOKUP(I28,[0]!CVARS,7,FALSE)</f>
        <v>5.4</v>
      </c>
      <c r="J33" s="1">
        <f>VLOOKUP(J28,[0]!CVARS,7,FALSE)</f>
        <v>0</v>
      </c>
      <c r="K33" s="1">
        <f>VLOOKUP(K28,[0]!CVARS,7,FALSE)</f>
        <v>1918.8</v>
      </c>
    </row>
    <row r="34" spans="2:11" ht="12.75">
      <c r="B34" s="41" t="s">
        <v>141</v>
      </c>
      <c r="C34" s="1">
        <f aca="true" t="shared" si="5" ref="C34:K34">SUM(C30:C33)</f>
        <v>10844.44</v>
      </c>
      <c r="D34" s="1">
        <f t="shared" si="5"/>
        <v>0</v>
      </c>
      <c r="E34" s="1">
        <f t="shared" si="5"/>
        <v>0</v>
      </c>
      <c r="F34" s="1">
        <f t="shared" si="5"/>
        <v>0</v>
      </c>
      <c r="G34" s="1">
        <f t="shared" si="5"/>
        <v>4.23</v>
      </c>
      <c r="H34" s="1">
        <f t="shared" si="5"/>
        <v>222.12</v>
      </c>
      <c r="I34" s="1">
        <f t="shared" si="5"/>
        <v>61.1</v>
      </c>
      <c r="J34" s="1">
        <f t="shared" si="5"/>
        <v>0</v>
      </c>
      <c r="K34" s="1">
        <f t="shared" si="5"/>
        <v>11001.23</v>
      </c>
    </row>
    <row r="36" spans="2:7" ht="12.75">
      <c r="B36" s="22" t="s">
        <v>80</v>
      </c>
      <c r="G36" s="13"/>
    </row>
    <row r="37" ht="12.75">
      <c r="G37" s="13"/>
    </row>
    <row r="38" spans="2:17" ht="12.75">
      <c r="B38" s="41"/>
      <c r="C38" s="5" t="s">
        <v>186</v>
      </c>
      <c r="D38" s="5" t="s">
        <v>111</v>
      </c>
      <c r="E38" s="5" t="s">
        <v>83</v>
      </c>
      <c r="F38" s="5" t="s">
        <v>146</v>
      </c>
      <c r="G38" s="5" t="s">
        <v>16</v>
      </c>
      <c r="H38" s="5" t="s">
        <v>147</v>
      </c>
      <c r="I38" s="5" t="s">
        <v>33</v>
      </c>
      <c r="J38" s="5" t="s">
        <v>148</v>
      </c>
      <c r="K38" s="5" t="s">
        <v>81</v>
      </c>
      <c r="L38" s="5" t="s">
        <v>30</v>
      </c>
      <c r="M38" s="5" t="s">
        <v>170</v>
      </c>
      <c r="N38" s="5" t="s">
        <v>31</v>
      </c>
      <c r="O38" s="5" t="s">
        <v>196</v>
      </c>
      <c r="P38" s="5" t="s">
        <v>2</v>
      </c>
      <c r="Q38" s="5" t="s">
        <v>1</v>
      </c>
    </row>
    <row r="39" spans="2:17" ht="71.25" customHeight="1">
      <c r="B39" s="41"/>
      <c r="C39" s="2" t="str">
        <f aca="true" t="shared" si="6" ref="C39:Q39">VLOOKUP(C38,CVARS,2,0)</f>
        <v>Q10,12, 16, 17, 33, 34 Collected For Recycling (excl green, other compost, rubble)</v>
      </c>
      <c r="D39" s="2" t="str">
        <f t="shared" si="6"/>
        <v>Q11 NH Collected For Recycling (excl green, other compost, rubble)</v>
      </c>
      <c r="E39" s="2" t="str">
        <f t="shared" si="6"/>
        <v>Q23 HH Residual Waste</v>
      </c>
      <c r="F39" s="2" t="str">
        <f t="shared" si="6"/>
        <v>Q23 NH Residual Waste</v>
      </c>
      <c r="G39" s="2" t="str">
        <f t="shared" si="6"/>
        <v>Q10, 12, 16, 17, 33, 34 Green and other Compostable Collected For Recycling</v>
      </c>
      <c r="H39" s="2" t="str">
        <f t="shared" si="6"/>
        <v>Q11 Green and other Compostable Collected For Recycling</v>
      </c>
      <c r="I39" s="2" t="str">
        <f t="shared" si="6"/>
        <v>Q18 Recycling (skips and other waste)</v>
      </c>
      <c r="J39" s="2" t="str">
        <f t="shared" si="6"/>
        <v>Q18 Parks and Grounds Waste Collected (Q18 row 1)</v>
      </c>
      <c r="K39" s="2" t="str">
        <f t="shared" si="6"/>
        <v>Q10, 11, 12, 16, 17, 33, 34 Collected For Reuse (excl. green, other compost and rubble)</v>
      </c>
      <c r="L39" s="2" t="str">
        <f t="shared" si="6"/>
        <v>Q23 CandI, Beach Cleansing, Grounds, Gullys and highways</v>
      </c>
      <c r="M39" s="2" t="str">
        <f t="shared" si="6"/>
        <v>Q54, 55 Incinerator Bottom Ash Recycled</v>
      </c>
      <c r="N39" s="2" t="str">
        <f t="shared" si="6"/>
        <v>Q54, 55 Incinerator Bottom Ash to Landfill</v>
      </c>
      <c r="O39" s="2" t="str">
        <f t="shared" si="6"/>
        <v>Q100 IBA Recycled from non-Primary EFW facility</v>
      </c>
      <c r="P39" s="2" t="str">
        <f t="shared" si="6"/>
        <v>Q100 IBA Landfilled from non-Primary EFW facility</v>
      </c>
      <c r="Q39" s="2" t="str">
        <f t="shared" si="6"/>
        <v>Total Municipal Waste </v>
      </c>
    </row>
    <row r="40" spans="2:17" ht="12.75">
      <c r="B40" s="41" t="s">
        <v>76</v>
      </c>
      <c r="C40" s="1">
        <f>VLOOKUP(C38,[0]!CVARS,4,FALSE)</f>
        <v>3970.33</v>
      </c>
      <c r="D40" s="1">
        <f>VLOOKUP(D38,[0]!CVARS,4,FALSE)</f>
        <v>0</v>
      </c>
      <c r="E40" s="1">
        <f>VLOOKUP(E38,[0]!CVARS,4,FALSE)</f>
        <v>4168.98</v>
      </c>
      <c r="F40" s="1">
        <f>VLOOKUP(F38,[0]!CVARS,4,FALSE)</f>
        <v>562.3</v>
      </c>
      <c r="G40" s="1">
        <f>VLOOKUP(G38,[0]!CVARS,4,FALSE)</f>
        <v>3427.2</v>
      </c>
      <c r="H40" s="1">
        <f>VLOOKUP(H38,[0]!CVARS,4,FALSE)</f>
        <v>0</v>
      </c>
      <c r="I40" s="1">
        <f>VLOOKUP(I38,[0]!CVARS,4,FALSE)</f>
        <v>0</v>
      </c>
      <c r="J40" s="1">
        <f>VLOOKUP(J38,[0]!CVARS,4,FALSE)</f>
        <v>53.78</v>
      </c>
      <c r="K40" s="1">
        <f>VLOOKUP(K38,[0]!CVARS,4,FALSE)</f>
        <v>179.9</v>
      </c>
      <c r="L40" s="1">
        <f>VLOOKUP(L38,[0]!CVARS,4,FALSE)</f>
        <v>172.98</v>
      </c>
      <c r="M40" s="1">
        <f>VLOOKUP(M38,[0]!CVARS,4,FALSE)</f>
        <v>0</v>
      </c>
      <c r="N40" s="1">
        <f>VLOOKUP(N38,[0]!CVARS,4,FALSE)</f>
        <v>0</v>
      </c>
      <c r="O40" s="1">
        <f>VLOOKUP(O38,[0]!CVARS,4,FALSE)</f>
        <v>39.2</v>
      </c>
      <c r="P40" s="1">
        <f>VLOOKUP(P38,[0]!CVARS,4,FALSE)</f>
        <v>0</v>
      </c>
      <c r="Q40" s="1">
        <f>VLOOKUP(Q38,[0]!CVARS,4,FALSE)</f>
        <v>12150.31</v>
      </c>
    </row>
    <row r="41" spans="2:17" ht="12.75">
      <c r="B41" s="41" t="s">
        <v>140</v>
      </c>
      <c r="C41" s="1">
        <f>VLOOKUP(C38,[0]!CVARS,5,FALSE)</f>
        <v>3840.15</v>
      </c>
      <c r="D41" s="1">
        <f>VLOOKUP(D38,[0]!CVARS,5,FALSE)</f>
        <v>0</v>
      </c>
      <c r="E41" s="1">
        <f>VLOOKUP(E38,[0]!CVARS,5,FALSE)</f>
        <v>3954.78</v>
      </c>
      <c r="F41" s="1">
        <f>VLOOKUP(F38,[0]!CVARS,5,FALSE)</f>
        <v>431.36</v>
      </c>
      <c r="G41" s="1">
        <f>VLOOKUP(G38,[0]!CVARS,5,FALSE)</f>
        <v>3010.88</v>
      </c>
      <c r="H41" s="1">
        <f>VLOOKUP(H38,[0]!CVARS,5,FALSE)</f>
        <v>0</v>
      </c>
      <c r="I41" s="1">
        <f>VLOOKUP(I38,[0]!CVARS,5,FALSE)</f>
        <v>0</v>
      </c>
      <c r="J41" s="1">
        <f>VLOOKUP(J38,[0]!CVARS,5,FALSE)</f>
        <v>46.18</v>
      </c>
      <c r="K41" s="1">
        <f>VLOOKUP(K38,[0]!CVARS,5,FALSE)</f>
        <v>160.87</v>
      </c>
      <c r="L41" s="1">
        <f>VLOOKUP(L38,[0]!CVARS,5,FALSE)</f>
        <v>83.51</v>
      </c>
      <c r="M41" s="1">
        <f>VLOOKUP(M38,[0]!CVARS,5,FALSE)</f>
        <v>0</v>
      </c>
      <c r="N41" s="1">
        <f>VLOOKUP(N38,[0]!CVARS,5,FALSE)</f>
        <v>0</v>
      </c>
      <c r="O41" s="1">
        <f>VLOOKUP(O38,[0]!CVARS,5,FALSE)</f>
        <v>94.07</v>
      </c>
      <c r="P41" s="1">
        <f>VLOOKUP(P38,[0]!CVARS,5,FALSE)</f>
        <v>0</v>
      </c>
      <c r="Q41" s="1">
        <f>VLOOKUP(Q38,[0]!CVARS,5,FALSE)</f>
        <v>11266.64</v>
      </c>
    </row>
    <row r="42" spans="2:32" ht="12.75" customHeight="1">
      <c r="B42" s="41" t="s">
        <v>211</v>
      </c>
      <c r="C42" s="1">
        <f>VLOOKUP(C38,[0]!CVARS,6,FALSE)</f>
        <v>3501.12</v>
      </c>
      <c r="D42" s="1">
        <f>VLOOKUP(D38,[0]!CVARS,6,FALSE)</f>
        <v>0</v>
      </c>
      <c r="E42" s="1">
        <f>VLOOKUP(E38,[0]!CVARS,6,FALSE)</f>
        <v>4149.07</v>
      </c>
      <c r="F42" s="1">
        <f>VLOOKUP(F38,[0]!CVARS,6,FALSE)</f>
        <v>484.95</v>
      </c>
      <c r="G42" s="1">
        <f>VLOOKUP(G38,[0]!CVARS,6,FALSE)</f>
        <v>2529.26</v>
      </c>
      <c r="H42" s="1">
        <f>VLOOKUP(H38,[0]!CVARS,6,FALSE)</f>
        <v>0</v>
      </c>
      <c r="I42" s="1">
        <f>VLOOKUP(I38,[0]!CVARS,6,FALSE)</f>
        <v>0</v>
      </c>
      <c r="J42" s="1">
        <f>VLOOKUP(J38,[0]!CVARS,6,FALSE)</f>
        <v>75.06</v>
      </c>
      <c r="K42" s="1">
        <f>VLOOKUP(K38,[0]!CVARS,6,FALSE)</f>
        <v>166.18</v>
      </c>
      <c r="L42" s="1">
        <f>VLOOKUP(L38,[0]!CVARS,6,FALSE)</f>
        <v>143.77</v>
      </c>
      <c r="M42" s="1">
        <f>VLOOKUP(M38,[0]!CVARS,6,FALSE)</f>
        <v>0</v>
      </c>
      <c r="N42" s="1">
        <f>VLOOKUP(N38,[0]!CVARS,6,FALSE)</f>
        <v>0</v>
      </c>
      <c r="O42" s="1">
        <f>VLOOKUP(O38,[0]!CVARS,6,FALSE)</f>
        <v>35.9</v>
      </c>
      <c r="P42" s="1">
        <f>VLOOKUP(P38,[0]!CVARS,6,FALSE)</f>
        <v>0</v>
      </c>
      <c r="Q42" s="1">
        <f>VLOOKUP(Q38,[0]!CVARS,6,FALSE)</f>
        <v>10725.97</v>
      </c>
      <c r="V42" s="7"/>
      <c r="W42" s="7"/>
      <c r="X42" s="7"/>
      <c r="Y42" s="7"/>
      <c r="Z42" s="7"/>
      <c r="AA42" s="7"/>
      <c r="AB42" s="7"/>
      <c r="AC42" s="7"/>
      <c r="AD42" s="7"/>
      <c r="AE42" s="7"/>
      <c r="AF42" s="7"/>
    </row>
    <row r="43" spans="2:17" ht="12.75">
      <c r="B43" s="41" t="s">
        <v>14</v>
      </c>
      <c r="C43" s="1">
        <f>VLOOKUP(C38,[0]!CVARS,7,FALSE)</f>
        <v>3633.98</v>
      </c>
      <c r="D43" s="1">
        <f>VLOOKUP(D38,[0]!CVARS,7,FALSE)</f>
        <v>0</v>
      </c>
      <c r="E43" s="1">
        <f>VLOOKUP(E38,[0]!CVARS,7,FALSE)</f>
        <v>4208.52</v>
      </c>
      <c r="F43" s="1">
        <f>VLOOKUP(F38,[0]!CVARS,7,FALSE)</f>
        <v>224.02</v>
      </c>
      <c r="G43" s="1">
        <f>VLOOKUP(G38,[0]!CVARS,7,FALSE)</f>
        <v>1877.1</v>
      </c>
      <c r="H43" s="1">
        <f>VLOOKUP(H38,[0]!CVARS,7,FALSE)</f>
        <v>0</v>
      </c>
      <c r="I43" s="1">
        <f>VLOOKUP(I38,[0]!CVARS,7,FALSE)</f>
        <v>0</v>
      </c>
      <c r="J43" s="1">
        <f>VLOOKUP(J38,[0]!CVARS,7,FALSE)</f>
        <v>47.1</v>
      </c>
      <c r="K43" s="1">
        <f>VLOOKUP(K38,[0]!CVARS,7,FALSE)</f>
        <v>183.71</v>
      </c>
      <c r="L43" s="1">
        <f>VLOOKUP(L38,[0]!CVARS,7,FALSE)</f>
        <v>116.32</v>
      </c>
      <c r="M43" s="1">
        <f>VLOOKUP(M38,[0]!CVARS,7,FALSE)</f>
        <v>0</v>
      </c>
      <c r="N43" s="1">
        <f>VLOOKUP(N38,[0]!CVARS,7,FALSE)</f>
        <v>0</v>
      </c>
      <c r="O43" s="1">
        <f>VLOOKUP(O38,[0]!CVARS,7,FALSE)</f>
        <v>116.85</v>
      </c>
      <c r="P43" s="1">
        <f>VLOOKUP(P38,[0]!CVARS,7,FALSE)</f>
        <v>0</v>
      </c>
      <c r="Q43" s="1">
        <f>VLOOKUP(Q38,[0]!CVARS,7,FALSE)</f>
        <v>9941.26</v>
      </c>
    </row>
    <row r="44" spans="2:17" ht="12.75">
      <c r="B44" s="41" t="s">
        <v>141</v>
      </c>
      <c r="C44" s="1">
        <f aca="true" t="shared" si="7" ref="C44:Q44">SUM(C40:C43)</f>
        <v>14945.579999999998</v>
      </c>
      <c r="D44" s="1">
        <f t="shared" si="7"/>
        <v>0</v>
      </c>
      <c r="E44" s="1">
        <f t="shared" si="7"/>
        <v>16481.35</v>
      </c>
      <c r="F44" s="1">
        <f t="shared" si="7"/>
        <v>1702.6299999999999</v>
      </c>
      <c r="G44" s="1">
        <f t="shared" si="7"/>
        <v>10844.44</v>
      </c>
      <c r="H44" s="1">
        <f t="shared" si="7"/>
        <v>0</v>
      </c>
      <c r="I44" s="1">
        <f t="shared" si="7"/>
        <v>0</v>
      </c>
      <c r="J44" s="1">
        <f t="shared" si="7"/>
        <v>222.12</v>
      </c>
      <c r="K44" s="1">
        <f t="shared" si="7"/>
        <v>690.66</v>
      </c>
      <c r="L44" s="1">
        <f t="shared" si="7"/>
        <v>516.5799999999999</v>
      </c>
      <c r="M44" s="1">
        <f t="shared" si="7"/>
        <v>0</v>
      </c>
      <c r="N44" s="1">
        <f t="shared" si="7"/>
        <v>0</v>
      </c>
      <c r="O44" s="1">
        <f t="shared" si="7"/>
        <v>286.02</v>
      </c>
      <c r="P44" s="1">
        <f t="shared" si="7"/>
        <v>0</v>
      </c>
      <c r="Q44" s="1">
        <f t="shared" si="7"/>
        <v>44084.18</v>
      </c>
    </row>
    <row r="45" ht="12.75">
      <c r="G45" s="13"/>
    </row>
    <row r="46" ht="12.75">
      <c r="G46" s="13"/>
    </row>
    <row r="47" ht="12.75">
      <c r="G47" s="13"/>
    </row>
    <row r="48" spans="2:19" ht="12.75" customHeight="1">
      <c r="B48" s="8" t="s">
        <v>101</v>
      </c>
      <c r="C48" s="7"/>
      <c r="D48" s="7"/>
      <c r="E48" s="7"/>
      <c r="F48" s="7"/>
      <c r="G48" s="7"/>
      <c r="H48" s="7"/>
      <c r="I48" s="7"/>
      <c r="J48" s="7"/>
      <c r="K48" s="7"/>
      <c r="L48" s="7"/>
      <c r="M48" s="7"/>
      <c r="N48" s="7"/>
      <c r="O48" s="7"/>
      <c r="P48" s="7"/>
      <c r="Q48" s="7"/>
      <c r="R48" s="7"/>
      <c r="S48" s="7"/>
    </row>
    <row r="49" spans="2:19" ht="12.75" customHeight="1">
      <c r="B49" s="8"/>
      <c r="C49" s="8" t="s">
        <v>34</v>
      </c>
      <c r="D49" s="8"/>
      <c r="E49" s="8"/>
      <c r="F49" s="8"/>
      <c r="G49" s="8"/>
      <c r="H49" s="8"/>
      <c r="I49" s="7"/>
      <c r="J49" s="7"/>
      <c r="K49" s="7"/>
      <c r="L49" s="7"/>
      <c r="M49" s="7"/>
      <c r="N49" s="7"/>
      <c r="O49" s="7"/>
      <c r="P49" s="7"/>
      <c r="Q49" s="7"/>
      <c r="R49" s="7"/>
      <c r="S49" s="7"/>
    </row>
    <row r="50" spans="2:19" ht="12.75" customHeight="1">
      <c r="B50" s="8"/>
      <c r="C50" s="8" t="s">
        <v>151</v>
      </c>
      <c r="D50" s="8"/>
      <c r="E50" s="8"/>
      <c r="F50" s="8"/>
      <c r="G50" s="8"/>
      <c r="H50" s="8"/>
      <c r="I50" s="7"/>
      <c r="J50" s="7"/>
      <c r="K50" s="7"/>
      <c r="L50" s="7"/>
      <c r="M50" s="7"/>
      <c r="N50" s="7"/>
      <c r="O50" s="7"/>
      <c r="P50" s="7"/>
      <c r="Q50" s="7"/>
      <c r="R50" s="7"/>
      <c r="S50" s="7"/>
    </row>
    <row r="51" spans="2:19" ht="12.75" customHeight="1">
      <c r="B51" s="8"/>
      <c r="C51" s="8" t="s">
        <v>189</v>
      </c>
      <c r="D51" s="8"/>
      <c r="E51" s="8"/>
      <c r="F51" s="8"/>
      <c r="G51" s="8"/>
      <c r="H51" s="8"/>
      <c r="I51" s="8"/>
      <c r="J51" s="7"/>
      <c r="K51" s="7"/>
      <c r="L51" s="7"/>
      <c r="M51" s="7"/>
      <c r="N51" s="7"/>
      <c r="O51" s="7"/>
      <c r="P51" s="7"/>
      <c r="Q51" s="7"/>
      <c r="R51" s="7"/>
      <c r="S51" s="7"/>
    </row>
    <row r="52" ht="12.75" customHeight="1"/>
    <row r="53" ht="12.75" customHeight="1">
      <c r="B53" s="30" t="s">
        <v>188</v>
      </c>
    </row>
    <row r="54" spans="3:10" ht="12.75" customHeight="1">
      <c r="C54" s="63" t="s">
        <v>197</v>
      </c>
      <c r="D54" s="8"/>
      <c r="E54" s="8"/>
      <c r="F54" s="8"/>
      <c r="G54" s="8"/>
      <c r="H54" s="8"/>
      <c r="I54" s="8"/>
      <c r="J54" s="8"/>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objects="1" scenarios="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Y32"/>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12.421875" style="0" customWidth="1"/>
    <col min="3" max="17" width="14.7109375" style="0" customWidth="1"/>
    <col min="18" max="25" width="10.7109375" style="0" customWidth="1"/>
  </cols>
  <sheetData>
    <row r="1" ht="18">
      <c r="B1" s="45" t="s">
        <v>0</v>
      </c>
    </row>
    <row r="2" spans="2:3" ht="15.75">
      <c r="B2" s="47" t="s">
        <v>47</v>
      </c>
      <c r="C2" s="34"/>
    </row>
    <row r="4" spans="2:3" ht="12.75">
      <c r="B4" s="43" t="s">
        <v>238</v>
      </c>
      <c r="C4" s="43"/>
    </row>
    <row r="6" spans="2:10" ht="12.75">
      <c r="B6" s="22" t="s">
        <v>143</v>
      </c>
      <c r="C6" s="22"/>
      <c r="D6" s="18"/>
      <c r="E6" s="18"/>
      <c r="F6" s="18"/>
      <c r="G6" s="18"/>
      <c r="J6" s="3"/>
    </row>
    <row r="7" ht="12.75">
      <c r="K7" s="3"/>
    </row>
    <row r="8" spans="2:17" ht="12.75">
      <c r="B8" s="44"/>
      <c r="C8" s="15" t="s">
        <v>241</v>
      </c>
      <c r="D8" s="14" t="s">
        <v>187</v>
      </c>
      <c r="E8" s="14" t="s">
        <v>82</v>
      </c>
      <c r="F8" s="15" t="s">
        <v>213</v>
      </c>
      <c r="G8" s="15" t="s">
        <v>145</v>
      </c>
      <c r="H8" s="15" t="s">
        <v>32</v>
      </c>
      <c r="I8" s="15" t="s">
        <v>153</v>
      </c>
      <c r="J8" s="15" t="s">
        <v>218</v>
      </c>
      <c r="K8" s="15" t="s">
        <v>57</v>
      </c>
      <c r="L8" s="15" t="s">
        <v>127</v>
      </c>
      <c r="M8" s="14" t="s">
        <v>198</v>
      </c>
      <c r="N8" s="14" t="s">
        <v>4</v>
      </c>
      <c r="O8" s="14" t="s">
        <v>58</v>
      </c>
      <c r="P8" s="14" t="s">
        <v>128</v>
      </c>
      <c r="Q8" s="14" t="s">
        <v>84</v>
      </c>
    </row>
    <row r="9" spans="2:17" ht="60" customHeight="1">
      <c r="B9" s="44"/>
      <c r="C9" s="9" t="str">
        <f aca="true" t="shared" si="0" ref="C9:Q9">VLOOKUP(C8,CVARS,2,0)</f>
        <v>Q10,12, 16, 17, 33, 34 HH Rejected For Recycling (excl green, other compost, rubble)</v>
      </c>
      <c r="D9" s="9" t="str">
        <f t="shared" si="0"/>
        <v>Q11 NH Rejected For Recycling (excl green, other compost, rubble)</v>
      </c>
      <c r="E9" s="9" t="str">
        <f t="shared" si="0"/>
        <v>Q10, 12, 16, 17, 33, 34 Green and other Compostable Rejected For Recycling</v>
      </c>
      <c r="F9" s="9" t="str">
        <f t="shared" si="0"/>
        <v>Q11 Green and other Compostable Rejected For Recycling</v>
      </c>
      <c r="G9" s="9" t="str">
        <f t="shared" si="0"/>
        <v>Q10, 11, 12, 16, 17, 33, 34 Rejected For Reuse (excl. green, other compost and rubble)</v>
      </c>
      <c r="H9" s="9" t="str">
        <f t="shared" si="0"/>
        <v>Q10, 11, 12, 16, 17, 33, 34 Rubble Rejected For Recycling And Reuse</v>
      </c>
      <c r="I9" s="9" t="str">
        <f t="shared" si="0"/>
        <v>Q100 Tonnes sent direct to Inert Landfill</v>
      </c>
      <c r="J9" s="9" t="str">
        <f t="shared" si="0"/>
        <v>Q100 Tonnes sent direct to Non-Hazardous Landfill</v>
      </c>
      <c r="K9" s="9" t="str">
        <f t="shared" si="0"/>
        <v>Q100 Tonnes sent direct to Hazardous Landfill</v>
      </c>
      <c r="L9" s="9" t="str">
        <f t="shared" si="0"/>
        <v>Q100 Tonnes sent indirectly to Inert Landfill (excl. IBA and IFA)</v>
      </c>
      <c r="M9" s="9" t="str">
        <f t="shared" si="0"/>
        <v>Q100 Tonnes sent indirectly to Non-Hazardous Landfill (excl. IBA and IFA)</v>
      </c>
      <c r="N9" s="9" t="str">
        <f t="shared" si="0"/>
        <v>Q100 Tonnes sent indirectly to Hazardous Landfill (excl. IBA and IFA)</v>
      </c>
      <c r="O9" s="9" t="str">
        <f t="shared" si="0"/>
        <v>Q100 Tonnes of IBA Landfilled</v>
      </c>
      <c r="P9" s="9" t="str">
        <f t="shared" si="0"/>
        <v>Q100 Tonnes of IFA Landfilled</v>
      </c>
      <c r="Q9" s="9" t="str">
        <f t="shared" si="0"/>
        <v>Wales Municipal Waste Landfilled - WMT004 Numerator</v>
      </c>
    </row>
    <row r="10" spans="2:17" ht="12.75">
      <c r="B10" s="44" t="s">
        <v>76</v>
      </c>
      <c r="C10" s="1">
        <f>VLOOKUP(C8,[0]!CVARS,4,FALSE)</f>
        <v>0</v>
      </c>
      <c r="D10" s="1">
        <f>VLOOKUP(D8,[0]!CVARS,4,FALSE)</f>
        <v>0</v>
      </c>
      <c r="E10" s="1">
        <f>VLOOKUP(E8,[0]!CVARS,4,FALSE)</f>
        <v>0</v>
      </c>
      <c r="F10" s="1">
        <f>VLOOKUP(F8,[0]!CVARS,4,FALSE)</f>
        <v>0</v>
      </c>
      <c r="G10" s="1">
        <f>VLOOKUP(G8,[0]!CVARS,4,FALSE)</f>
        <v>0</v>
      </c>
      <c r="H10" s="1">
        <f>VLOOKUP(H8,[0]!CVARS,4,FALSE)</f>
        <v>0</v>
      </c>
      <c r="I10" s="1">
        <f>VLOOKUP(I8,[0]!CVARS,4,FALSE)</f>
        <v>0</v>
      </c>
      <c r="J10" s="1">
        <f>VLOOKUP(J8,[0]!CVARS,4,FALSE)</f>
        <v>0</v>
      </c>
      <c r="K10" s="1">
        <f>VLOOKUP(K8,[0]!CVARS,4,FALSE)</f>
        <v>0</v>
      </c>
      <c r="L10" s="1">
        <f>VLOOKUP(L8,[0]!CVARS,4,FALSE)</f>
        <v>0</v>
      </c>
      <c r="M10" s="1">
        <f>VLOOKUP(M8,[0]!CVARS,4,FALSE)</f>
        <v>33.86</v>
      </c>
      <c r="N10" s="1">
        <f>VLOOKUP(N8,[0]!CVARS,4,FALSE)</f>
        <v>0</v>
      </c>
      <c r="O10" s="1">
        <f>VLOOKUP(O8,[0]!CVARS,4,FALSE)</f>
        <v>0</v>
      </c>
      <c r="P10" s="1">
        <f>VLOOKUP(P8,[0]!CVARS,4,FALSE)</f>
        <v>14.3</v>
      </c>
      <c r="Q10" s="1">
        <f>VLOOKUP(Q8,[0]!CVARS,4,FALSE)</f>
        <v>48.16</v>
      </c>
    </row>
    <row r="11" spans="2:17" ht="12.75">
      <c r="B11" s="44" t="s">
        <v>140</v>
      </c>
      <c r="C11" s="1">
        <f>VLOOKUP(C8,[0]!CVARS,5,FALSE)</f>
        <v>0</v>
      </c>
      <c r="D11" s="1">
        <f>VLOOKUP(D8,[0]!CVARS,5,FALSE)</f>
        <v>0</v>
      </c>
      <c r="E11" s="1">
        <f>VLOOKUP(E8,[0]!CVARS,5,FALSE)</f>
        <v>0</v>
      </c>
      <c r="F11" s="1">
        <f>VLOOKUP(F8,[0]!CVARS,5,FALSE)</f>
        <v>0</v>
      </c>
      <c r="G11" s="1">
        <f>VLOOKUP(G8,[0]!CVARS,5,FALSE)</f>
        <v>0</v>
      </c>
      <c r="H11" s="1">
        <f>VLOOKUP(H8,[0]!CVARS,5,FALSE)</f>
        <v>0</v>
      </c>
      <c r="I11" s="1">
        <f>VLOOKUP(I8,[0]!CVARS,5,FALSE)</f>
        <v>0</v>
      </c>
      <c r="J11" s="1">
        <f>VLOOKUP(J8,[0]!CVARS,5,FALSE)</f>
        <v>0</v>
      </c>
      <c r="K11" s="1">
        <f>VLOOKUP(K8,[0]!CVARS,5,FALSE)</f>
        <v>0</v>
      </c>
      <c r="L11" s="1">
        <f>VLOOKUP(L8,[0]!CVARS,5,FALSE)</f>
        <v>0</v>
      </c>
      <c r="M11" s="1">
        <f>VLOOKUP(M8,[0]!CVARS,5,FALSE)</f>
        <v>41.88</v>
      </c>
      <c r="N11" s="1">
        <f>VLOOKUP(N8,[0]!CVARS,5,FALSE)</f>
        <v>0</v>
      </c>
      <c r="O11" s="1">
        <f>VLOOKUP(O8,[0]!CVARS,5,FALSE)</f>
        <v>0</v>
      </c>
      <c r="P11" s="1">
        <f>VLOOKUP(P8,[0]!CVARS,5,FALSE)</f>
        <v>4.31</v>
      </c>
      <c r="Q11" s="1">
        <f>VLOOKUP(Q8,[0]!CVARS,5,FALSE)</f>
        <v>46.19</v>
      </c>
    </row>
    <row r="12" spans="2:17" ht="12.75">
      <c r="B12" s="44" t="s">
        <v>211</v>
      </c>
      <c r="C12" s="1">
        <f>VLOOKUP(C8,[0]!CVARS,6,FALSE)</f>
        <v>0</v>
      </c>
      <c r="D12" s="1">
        <f>VLOOKUP(D8,[0]!CVARS,6,FALSE)</f>
        <v>0</v>
      </c>
      <c r="E12" s="1">
        <f>VLOOKUP(E8,[0]!CVARS,6,FALSE)</f>
        <v>0</v>
      </c>
      <c r="F12" s="1">
        <f>VLOOKUP(F8,[0]!CVARS,6,FALSE)</f>
        <v>0</v>
      </c>
      <c r="G12" s="1">
        <f>VLOOKUP(G8,[0]!CVARS,6,FALSE)</f>
        <v>0</v>
      </c>
      <c r="H12" s="1">
        <f>VLOOKUP(H8,[0]!CVARS,6,FALSE)</f>
        <v>0</v>
      </c>
      <c r="I12" s="1">
        <f>VLOOKUP(I8,[0]!CVARS,6,FALSE)</f>
        <v>0</v>
      </c>
      <c r="J12" s="1">
        <f>VLOOKUP(J8,[0]!CVARS,6,FALSE)</f>
        <v>0</v>
      </c>
      <c r="K12" s="1">
        <f>VLOOKUP(K8,[0]!CVARS,6,FALSE)</f>
        <v>13.14</v>
      </c>
      <c r="L12" s="1">
        <f>VLOOKUP(L8,[0]!CVARS,6,FALSE)</f>
        <v>0</v>
      </c>
      <c r="M12" s="1">
        <f>VLOOKUP(M8,[0]!CVARS,6,FALSE)</f>
        <v>36.98</v>
      </c>
      <c r="N12" s="1">
        <f>VLOOKUP(N8,[0]!CVARS,6,FALSE)</f>
        <v>0</v>
      </c>
      <c r="O12" s="1">
        <f>VLOOKUP(O8,[0]!CVARS,6,FALSE)</f>
        <v>0</v>
      </c>
      <c r="P12" s="1">
        <f>VLOOKUP(P8,[0]!CVARS,6,FALSE)</f>
        <v>7.22</v>
      </c>
      <c r="Q12" s="1">
        <f>VLOOKUP(Q8,[0]!CVARS,6,FALSE)</f>
        <v>57.34</v>
      </c>
    </row>
    <row r="13" spans="2:17" ht="12.75">
      <c r="B13" s="44" t="s">
        <v>14</v>
      </c>
      <c r="C13" s="1">
        <f>VLOOKUP(C8,[0]!CVARS,7,FALSE)</f>
        <v>0</v>
      </c>
      <c r="D13" s="1">
        <f>VLOOKUP(D8,[0]!CVARS,7,FALSE)</f>
        <v>0</v>
      </c>
      <c r="E13" s="1">
        <f>VLOOKUP(E8,[0]!CVARS,7,FALSE)</f>
        <v>0</v>
      </c>
      <c r="F13" s="1">
        <f>VLOOKUP(F8,[0]!CVARS,7,FALSE)</f>
        <v>0</v>
      </c>
      <c r="G13" s="1">
        <f>VLOOKUP(G8,[0]!CVARS,7,FALSE)</f>
        <v>0</v>
      </c>
      <c r="H13" s="1">
        <f>VLOOKUP(H8,[0]!CVARS,7,FALSE)</f>
        <v>0</v>
      </c>
      <c r="I13" s="1">
        <f>VLOOKUP(I8,[0]!CVARS,7,FALSE)</f>
        <v>0</v>
      </c>
      <c r="J13" s="1">
        <f>VLOOKUP(J8,[0]!CVARS,7,FALSE)</f>
        <v>0</v>
      </c>
      <c r="K13" s="1">
        <f>VLOOKUP(K8,[0]!CVARS,7,FALSE)</f>
        <v>6.16</v>
      </c>
      <c r="L13" s="1">
        <f>VLOOKUP(L8,[0]!CVARS,7,FALSE)</f>
        <v>0</v>
      </c>
      <c r="M13" s="1">
        <f>VLOOKUP(M8,[0]!CVARS,7,FALSE)</f>
        <v>5.66</v>
      </c>
      <c r="N13" s="1">
        <f>VLOOKUP(N8,[0]!CVARS,7,FALSE)</f>
        <v>4.33</v>
      </c>
      <c r="O13" s="1">
        <f>VLOOKUP(O8,[0]!CVARS,7,FALSE)</f>
        <v>0</v>
      </c>
      <c r="P13" s="1">
        <f>VLOOKUP(P8,[0]!CVARS,7,FALSE)</f>
        <v>0.06</v>
      </c>
      <c r="Q13" s="1">
        <f>VLOOKUP(Q8,[0]!CVARS,7,FALSE)</f>
        <v>16.21</v>
      </c>
    </row>
    <row r="14" spans="2:17" ht="12.75">
      <c r="B14" s="44" t="s">
        <v>141</v>
      </c>
      <c r="C14" s="4">
        <f aca="true" t="shared" si="1" ref="C14:Q14">SUM(C10:C13)</f>
        <v>0</v>
      </c>
      <c r="D14" s="4">
        <f t="shared" si="1"/>
        <v>0</v>
      </c>
      <c r="E14" s="4">
        <f t="shared" si="1"/>
        <v>0</v>
      </c>
      <c r="F14" s="4">
        <f t="shared" si="1"/>
        <v>0</v>
      </c>
      <c r="G14" s="4">
        <f t="shared" si="1"/>
        <v>0</v>
      </c>
      <c r="H14" s="4">
        <f t="shared" si="1"/>
        <v>0</v>
      </c>
      <c r="I14" s="4">
        <f t="shared" si="1"/>
        <v>0</v>
      </c>
      <c r="J14" s="4">
        <f t="shared" si="1"/>
        <v>0</v>
      </c>
      <c r="K14" s="4">
        <f t="shared" si="1"/>
        <v>19.3</v>
      </c>
      <c r="L14" s="4">
        <f t="shared" si="1"/>
        <v>0</v>
      </c>
      <c r="M14" s="4">
        <f t="shared" si="1"/>
        <v>118.38</v>
      </c>
      <c r="N14" s="4">
        <f t="shared" si="1"/>
        <v>4.33</v>
      </c>
      <c r="O14" s="4">
        <f t="shared" si="1"/>
        <v>0</v>
      </c>
      <c r="P14" s="4">
        <f t="shared" si="1"/>
        <v>25.889999999999997</v>
      </c>
      <c r="Q14" s="4">
        <f t="shared" si="1"/>
        <v>167.9</v>
      </c>
    </row>
    <row r="16" spans="2:3" ht="12.75">
      <c r="B16" s="22" t="s">
        <v>142</v>
      </c>
      <c r="C16" s="22"/>
    </row>
    <row r="17" spans="2:3" ht="12.75">
      <c r="B17" s="22"/>
      <c r="C17" s="22"/>
    </row>
    <row r="18" spans="2:13" ht="12.75">
      <c r="B18" s="44"/>
      <c r="C18" s="14" t="s">
        <v>186</v>
      </c>
      <c r="D18" s="14" t="s">
        <v>111</v>
      </c>
      <c r="E18" s="14" t="s">
        <v>83</v>
      </c>
      <c r="F18" s="14" t="s">
        <v>146</v>
      </c>
      <c r="G18" s="14" t="s">
        <v>16</v>
      </c>
      <c r="H18" s="14" t="s">
        <v>147</v>
      </c>
      <c r="I18" s="14" t="s">
        <v>33</v>
      </c>
      <c r="J18" s="14" t="s">
        <v>148</v>
      </c>
      <c r="K18" s="14" t="s">
        <v>81</v>
      </c>
      <c r="L18" s="14" t="s">
        <v>212</v>
      </c>
      <c r="M18" s="14" t="s">
        <v>18</v>
      </c>
    </row>
    <row r="19" spans="2:13" ht="60" customHeight="1">
      <c r="B19" s="44"/>
      <c r="C19" s="9" t="str">
        <f aca="true" t="shared" si="2" ref="C19:M19">VLOOKUP(C18,CVARS,2,0)</f>
        <v>Q10,12, 16, 17, 33, 34 Collected For Recycling (excl green, other compost, rubble)</v>
      </c>
      <c r="D19" s="9" t="str">
        <f t="shared" si="2"/>
        <v>Q11 NH Collected For Recycling (excl green, other compost, rubble)</v>
      </c>
      <c r="E19" s="9" t="str">
        <f t="shared" si="2"/>
        <v>Q23 HH Residual Waste</v>
      </c>
      <c r="F19" s="9" t="str">
        <f t="shared" si="2"/>
        <v>Q23 NH Residual Waste</v>
      </c>
      <c r="G19" s="9" t="str">
        <f t="shared" si="2"/>
        <v>Q10, 12, 16, 17, 33, 34 Green and other Compostable Collected For Recycling</v>
      </c>
      <c r="H19" s="9" t="str">
        <f t="shared" si="2"/>
        <v>Q11 Green and other Compostable Collected For Recycling</v>
      </c>
      <c r="I19" s="9" t="str">
        <f t="shared" si="2"/>
        <v>Q18 Recycling (skips and other waste)</v>
      </c>
      <c r="J19" s="9" t="str">
        <f t="shared" si="2"/>
        <v>Q18 Parks and Grounds Waste Collected (Q18 row 1)</v>
      </c>
      <c r="K19" s="9" t="str">
        <f t="shared" si="2"/>
        <v>Q10, 11, 12, 16, 17, 33, 34 Collected For Reuse (excl. green, other compost and rubble)</v>
      </c>
      <c r="L19" s="9" t="str">
        <f t="shared" si="2"/>
        <v>Q10, 11, 12, 16, 17, 33, 34 Rubble Collected For Recycling And Reuse</v>
      </c>
      <c r="M19" s="9" t="str">
        <f t="shared" si="2"/>
        <v>WMT004 &amp; 005 Denominator</v>
      </c>
    </row>
    <row r="20" spans="2:13" ht="12.75">
      <c r="B20" s="44" t="s">
        <v>76</v>
      </c>
      <c r="C20" s="1">
        <f>VLOOKUP(C18,[0]!CVARS,4,FALSE)</f>
        <v>3970.33</v>
      </c>
      <c r="D20" s="1">
        <f>VLOOKUP(D18,[0]!CVARS,4,FALSE)</f>
        <v>0</v>
      </c>
      <c r="E20" s="1">
        <f>VLOOKUP(E18,[0]!CVARS,4,FALSE)</f>
        <v>4168.98</v>
      </c>
      <c r="F20" s="1">
        <f>VLOOKUP(F18,[0]!CVARS,4,FALSE)</f>
        <v>562.3</v>
      </c>
      <c r="G20" s="1">
        <f>VLOOKUP(G18,[0]!CVARS,4,FALSE)</f>
        <v>3427.2</v>
      </c>
      <c r="H20" s="1">
        <f>VLOOKUP(H18,[0]!CVARS,4,FALSE)</f>
        <v>0</v>
      </c>
      <c r="I20" s="1">
        <f>VLOOKUP(I18,[0]!CVARS,4,FALSE)</f>
        <v>0</v>
      </c>
      <c r="J20" s="1">
        <f>VLOOKUP(J18,[0]!CVARS,4,FALSE)</f>
        <v>53.78</v>
      </c>
      <c r="K20" s="1">
        <f>VLOOKUP(K18,[0]!CVARS,4,FALSE)</f>
        <v>179.9</v>
      </c>
      <c r="L20" s="1">
        <f>VLOOKUP(L18,[0]!CVARS,4,FALSE)</f>
        <v>932.76</v>
      </c>
      <c r="M20" s="1">
        <f>VLOOKUP(M18,[0]!CVARS,4,FALSE)</f>
        <v>13295.25</v>
      </c>
    </row>
    <row r="21" spans="2:13" ht="12.75">
      <c r="B21" s="44" t="s">
        <v>140</v>
      </c>
      <c r="C21" s="1">
        <f>VLOOKUP(C18,[0]!CVARS,5,FALSE)</f>
        <v>3840.15</v>
      </c>
      <c r="D21" s="1">
        <f>VLOOKUP(D18,[0]!CVARS,5,FALSE)</f>
        <v>0</v>
      </c>
      <c r="E21" s="1">
        <f>VLOOKUP(E18,[0]!CVARS,5,FALSE)</f>
        <v>3954.78</v>
      </c>
      <c r="F21" s="1">
        <f>VLOOKUP(F18,[0]!CVARS,5,FALSE)</f>
        <v>431.36</v>
      </c>
      <c r="G21" s="1">
        <f>VLOOKUP(G18,[0]!CVARS,5,FALSE)</f>
        <v>3010.88</v>
      </c>
      <c r="H21" s="1">
        <f>VLOOKUP(H18,[0]!CVARS,5,FALSE)</f>
        <v>0</v>
      </c>
      <c r="I21" s="1">
        <f>VLOOKUP(I18,[0]!CVARS,5,FALSE)</f>
        <v>0</v>
      </c>
      <c r="J21" s="1">
        <f>VLOOKUP(J18,[0]!CVARS,5,FALSE)</f>
        <v>46.18</v>
      </c>
      <c r="K21" s="1">
        <f>VLOOKUP(K18,[0]!CVARS,5,FALSE)</f>
        <v>160.87</v>
      </c>
      <c r="L21" s="1">
        <f>VLOOKUP(L18,[0]!CVARS,5,FALSE)</f>
        <v>965.98</v>
      </c>
      <c r="M21" s="1">
        <f>VLOOKUP(M18,[0]!CVARS,5,FALSE)</f>
        <v>12410.2</v>
      </c>
    </row>
    <row r="22" spans="2:13" ht="12.75">
      <c r="B22" s="44" t="s">
        <v>211</v>
      </c>
      <c r="C22" s="1">
        <f>VLOOKUP(C18,[0]!CVARS,6,FALSE)</f>
        <v>3501.12</v>
      </c>
      <c r="D22" s="1">
        <f>VLOOKUP(D18,[0]!CVARS,6,FALSE)</f>
        <v>0</v>
      </c>
      <c r="E22" s="1">
        <f>VLOOKUP(E18,[0]!CVARS,6,FALSE)</f>
        <v>4149.07</v>
      </c>
      <c r="F22" s="1">
        <f>VLOOKUP(F18,[0]!CVARS,6,FALSE)</f>
        <v>484.95</v>
      </c>
      <c r="G22" s="1">
        <f>VLOOKUP(G18,[0]!CVARS,6,FALSE)</f>
        <v>2529.26</v>
      </c>
      <c r="H22" s="1">
        <f>VLOOKUP(H18,[0]!CVARS,6,FALSE)</f>
        <v>0</v>
      </c>
      <c r="I22" s="1">
        <f>VLOOKUP(I18,[0]!CVARS,6,FALSE)</f>
        <v>0</v>
      </c>
      <c r="J22" s="1">
        <f>VLOOKUP(J18,[0]!CVARS,6,FALSE)</f>
        <v>75.06</v>
      </c>
      <c r="K22" s="1">
        <f>VLOOKUP(K18,[0]!CVARS,6,FALSE)</f>
        <v>166.18</v>
      </c>
      <c r="L22" s="1">
        <f>VLOOKUP(L18,[0]!CVARS,6,FALSE)</f>
        <v>419.18</v>
      </c>
      <c r="M22" s="1">
        <f>VLOOKUP(M18,[0]!CVARS,6,FALSE)</f>
        <v>11324.82</v>
      </c>
    </row>
    <row r="23" spans="2:13" ht="12.75">
      <c r="B23" s="44" t="s">
        <v>14</v>
      </c>
      <c r="C23" s="1">
        <f>VLOOKUP(C18,[0]!CVARS,7,FALSE)</f>
        <v>3633.98</v>
      </c>
      <c r="D23" s="1">
        <f>VLOOKUP(D18,[0]!CVARS,7,FALSE)</f>
        <v>0</v>
      </c>
      <c r="E23" s="1">
        <f>VLOOKUP(E18,[0]!CVARS,7,FALSE)</f>
        <v>4208.52</v>
      </c>
      <c r="F23" s="1">
        <f>VLOOKUP(F18,[0]!CVARS,7,FALSE)</f>
        <v>224.02</v>
      </c>
      <c r="G23" s="1">
        <f>VLOOKUP(G18,[0]!CVARS,7,FALSE)</f>
        <v>1877.1</v>
      </c>
      <c r="H23" s="1">
        <f>VLOOKUP(H18,[0]!CVARS,7,FALSE)</f>
        <v>0</v>
      </c>
      <c r="I23" s="1">
        <f>VLOOKUP(I18,[0]!CVARS,7,FALSE)</f>
        <v>0</v>
      </c>
      <c r="J23" s="1">
        <f>VLOOKUP(J18,[0]!CVARS,7,FALSE)</f>
        <v>47.1</v>
      </c>
      <c r="K23" s="1">
        <f>VLOOKUP(K18,[0]!CVARS,7,FALSE)</f>
        <v>183.71</v>
      </c>
      <c r="L23" s="1">
        <f>VLOOKUP(L18,[0]!CVARS,7,FALSE)</f>
        <v>576.32</v>
      </c>
      <c r="M23" s="1">
        <f>VLOOKUP(M18,[0]!CVARS,7,FALSE)</f>
        <v>10750.75</v>
      </c>
    </row>
    <row r="24" spans="2:13" ht="12.75">
      <c r="B24" s="44" t="s">
        <v>141</v>
      </c>
      <c r="C24" s="4">
        <f aca="true" t="shared" si="3" ref="C24:M24">SUM(C20:C23)</f>
        <v>14945.579999999998</v>
      </c>
      <c r="D24" s="4">
        <f t="shared" si="3"/>
        <v>0</v>
      </c>
      <c r="E24" s="4">
        <f t="shared" si="3"/>
        <v>16481.35</v>
      </c>
      <c r="F24" s="4">
        <f t="shared" si="3"/>
        <v>1702.6299999999999</v>
      </c>
      <c r="G24" s="4">
        <f t="shared" si="3"/>
        <v>10844.44</v>
      </c>
      <c r="H24" s="4">
        <f t="shared" si="3"/>
        <v>0</v>
      </c>
      <c r="I24" s="4">
        <f t="shared" si="3"/>
        <v>0</v>
      </c>
      <c r="J24" s="4">
        <f t="shared" si="3"/>
        <v>222.12</v>
      </c>
      <c r="K24" s="4">
        <f t="shared" si="3"/>
        <v>690.66</v>
      </c>
      <c r="L24" s="4">
        <f t="shared" si="3"/>
        <v>2894.2400000000002</v>
      </c>
      <c r="M24" s="4">
        <f t="shared" si="3"/>
        <v>47781.020000000004</v>
      </c>
    </row>
    <row r="25" ht="12" customHeight="1"/>
    <row r="27" spans="2:17" ht="12.75" customHeight="1">
      <c r="B27" s="93" t="s">
        <v>123</v>
      </c>
      <c r="C27" s="93"/>
      <c r="D27" s="74" t="s">
        <v>5</v>
      </c>
      <c r="E27" s="8"/>
      <c r="F27" s="8"/>
      <c r="G27" s="8"/>
      <c r="H27" s="8"/>
      <c r="I27" s="8"/>
      <c r="J27" s="8"/>
      <c r="K27" s="8"/>
      <c r="L27" s="8"/>
      <c r="M27" s="8"/>
      <c r="N27" s="42"/>
      <c r="O27" s="42"/>
      <c r="P27" s="42"/>
      <c r="Q27" s="42"/>
    </row>
    <row r="28" spans="3:25" ht="12.75">
      <c r="C28" s="49"/>
      <c r="D28" s="11"/>
      <c r="E28" s="11"/>
      <c r="F28" s="11"/>
      <c r="G28" s="11"/>
      <c r="H28" s="11"/>
      <c r="I28" s="11"/>
      <c r="J28" s="11"/>
      <c r="K28" s="11"/>
      <c r="L28" s="11"/>
      <c r="M28" s="11"/>
      <c r="N28" s="11"/>
      <c r="O28" s="11"/>
      <c r="P28" s="24"/>
      <c r="Q28" s="24"/>
      <c r="R28" s="24"/>
      <c r="S28" s="24"/>
      <c r="T28" s="24"/>
      <c r="U28" s="24"/>
      <c r="V28" s="24"/>
      <c r="W28" s="24"/>
      <c r="X28" s="24"/>
      <c r="Y28" s="24"/>
    </row>
    <row r="29" spans="2:13" ht="12.75">
      <c r="B29" s="30" t="s">
        <v>149</v>
      </c>
      <c r="C29" s="33"/>
      <c r="D29" s="72" t="s">
        <v>242</v>
      </c>
      <c r="E29" s="36"/>
      <c r="F29" s="36"/>
      <c r="G29" s="36"/>
      <c r="H29" s="36"/>
      <c r="I29" s="36"/>
      <c r="J29" s="33"/>
      <c r="K29" s="33"/>
      <c r="L29" s="33"/>
      <c r="M29" s="33"/>
    </row>
    <row r="30" spans="3:13" ht="12.75">
      <c r="C30" s="12"/>
      <c r="D30" s="12"/>
      <c r="E30" s="12"/>
      <c r="F30" s="12"/>
      <c r="G30" s="12"/>
      <c r="H30" s="12"/>
      <c r="I30" s="12"/>
      <c r="J30" s="12"/>
      <c r="K30" s="12"/>
      <c r="L30" s="12"/>
      <c r="M30" s="12"/>
    </row>
    <row r="32" spans="4:12" ht="12.75">
      <c r="D32" s="12"/>
      <c r="E32" s="12"/>
      <c r="F32" s="12"/>
      <c r="G32" s="12"/>
      <c r="H32" s="12"/>
      <c r="I32" s="12"/>
      <c r="J32" s="12"/>
      <c r="K32" s="12"/>
      <c r="L32" s="12"/>
    </row>
  </sheetData>
  <sheetProtection sheet="1" objects="1" scenarios="1"/>
  <mergeCells count="1">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23"/>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9.421875" style="0" customWidth="1"/>
    <col min="3" max="11" width="14.7109375" style="0" customWidth="1"/>
  </cols>
  <sheetData>
    <row r="1" ht="18">
      <c r="B1" s="45" t="s">
        <v>0</v>
      </c>
    </row>
    <row r="2" ht="15.75">
      <c r="B2" s="47" t="s">
        <v>129</v>
      </c>
    </row>
    <row r="3" ht="12.75" customHeight="1">
      <c r="B3" s="34"/>
    </row>
    <row r="4" ht="12.75" customHeight="1">
      <c r="B4" s="43" t="s">
        <v>238</v>
      </c>
    </row>
    <row r="5" ht="12.75" customHeight="1">
      <c r="B5" s="34"/>
    </row>
    <row r="6" spans="2:6" ht="12.75">
      <c r="B6" s="22" t="s">
        <v>122</v>
      </c>
      <c r="C6" s="22"/>
      <c r="D6" s="18"/>
      <c r="E6" s="18"/>
      <c r="F6" s="18"/>
    </row>
    <row r="7" spans="5:6" ht="12.75">
      <c r="E7" s="3"/>
      <c r="F7" s="3"/>
    </row>
    <row r="8" spans="2:11" ht="12.75">
      <c r="B8" s="44"/>
      <c r="C8" s="15" t="s">
        <v>199</v>
      </c>
      <c r="D8" s="15" t="s">
        <v>19</v>
      </c>
      <c r="E8" s="15" t="s">
        <v>85</v>
      </c>
      <c r="F8" s="15" t="s">
        <v>154</v>
      </c>
      <c r="G8" s="15" t="s">
        <v>200</v>
      </c>
      <c r="H8" s="15" t="s">
        <v>20</v>
      </c>
      <c r="I8" s="15" t="s">
        <v>86</v>
      </c>
      <c r="J8" s="15" t="s">
        <v>155</v>
      </c>
      <c r="K8" s="15" t="s">
        <v>219</v>
      </c>
    </row>
    <row r="9" spans="2:11" s="70" customFormat="1" ht="105" customHeight="1">
      <c r="B9" s="66"/>
      <c r="C9" s="27" t="str">
        <f aca="true" t="shared" si="0" ref="C9:K9">VLOOKUP(C8,CVARS,2,0)</f>
        <v>Q100 Tonnes direct to Incineration with Energy Recovery less Outputs (excl process and moisture loss)</v>
      </c>
      <c r="D9" s="27" t="str">
        <f t="shared" si="0"/>
        <v>Q100 Tonnes direct to Advanced thermal treatment less Outputs (excl process and moisture loss)</v>
      </c>
      <c r="E9" s="27" t="str">
        <f t="shared" si="0"/>
        <v>Q100 Tonnes indirectly to Incineration with Energy Recovery less Outputs (excl process and moisture loss)</v>
      </c>
      <c r="F9" s="27" t="str">
        <f t="shared" si="0"/>
        <v>Q100 Tonnes indirectly to Advanced thermal treatment less Outputs (excl process and moisture loss)</v>
      </c>
      <c r="G9" s="27" t="str">
        <f t="shared" si="0"/>
        <v>Q100 Tonnes process losses, CLO, Mixed Organic &amp; Composting to FD directly from primary Aerobic or Anerobic digestion (whole waste).</v>
      </c>
      <c r="H9" s="27" t="str">
        <f t="shared" si="0"/>
        <v>Q100 Tonnes process losses, CLO, Mixed Organic &amp; Composting to FD directly from primary Aerobic or Anerobic digestion (segregated waste).</v>
      </c>
      <c r="I9" s="27" t="str">
        <f t="shared" si="0"/>
        <v>Q100 Tonnes process losses, CLO, Mixed Organic &amp; Composting to FD directly from secondary/tertiary Aerobic or Anerobic digestion (whole waste).</v>
      </c>
      <c r="J9" s="27" t="str">
        <f t="shared" si="0"/>
        <v>Q100 Tonnes process losses, CLO, Mixed Organic &amp; Composting to FD directly from secondary/tertiary Aerobic or Anerobic digestion (segregated waste).</v>
      </c>
      <c r="K9" s="27" t="str">
        <f t="shared" si="0"/>
        <v>Wales Municipal Waste Used to Recover Heat and Power (Apr 2013 onwards)</v>
      </c>
    </row>
    <row r="10" spans="2:11" ht="12.75">
      <c r="B10" s="44" t="s">
        <v>76</v>
      </c>
      <c r="C10" s="1">
        <f>VLOOKUP(C8,[0]!CVARS,4,FALSE)</f>
        <v>3630.85</v>
      </c>
      <c r="D10" s="1">
        <f>VLOOKUP(D8,[0]!CVARS,4,FALSE)</f>
        <v>0</v>
      </c>
      <c r="E10" s="1">
        <f>VLOOKUP(E8,[0]!CVARS,4,FALSE)</f>
        <v>381.12</v>
      </c>
      <c r="F10" s="1">
        <f>VLOOKUP(F8,[0]!CVARS,4,FALSE)</f>
        <v>0</v>
      </c>
      <c r="G10" s="1">
        <f>VLOOKUP(G8,[0]!CVARS,4,FALSE)</f>
        <v>0</v>
      </c>
      <c r="H10" s="1">
        <f>VLOOKUP(H8,[0]!CVARS,4,FALSE)</f>
        <v>0</v>
      </c>
      <c r="I10" s="1">
        <f>VLOOKUP(I8,[0]!CVARS,4,FALSE)</f>
        <v>0</v>
      </c>
      <c r="J10" s="1">
        <f>VLOOKUP(J8,[0]!CVARS,4,FALSE)</f>
        <v>0</v>
      </c>
      <c r="K10" s="1">
        <f>VLOOKUP(K8,[0]!CVARS,4,FALSE)</f>
        <v>4011.97</v>
      </c>
    </row>
    <row r="11" spans="2:11" ht="12.75">
      <c r="B11" s="44" t="s">
        <v>140</v>
      </c>
      <c r="C11" s="1">
        <f>VLOOKUP(C8,[0]!CVARS,5,FALSE)</f>
        <v>3307.88</v>
      </c>
      <c r="D11" s="1">
        <f>VLOOKUP(D8,[0]!CVARS,5,FALSE)</f>
        <v>0</v>
      </c>
      <c r="E11" s="1">
        <f>VLOOKUP(E8,[0]!CVARS,5,FALSE)</f>
        <v>932.21</v>
      </c>
      <c r="F11" s="1">
        <f>VLOOKUP(F8,[0]!CVARS,5,FALSE)</f>
        <v>0</v>
      </c>
      <c r="G11" s="1">
        <f>VLOOKUP(G8,[0]!CVARS,5,FALSE)</f>
        <v>0</v>
      </c>
      <c r="H11" s="1">
        <f>VLOOKUP(H8,[0]!CVARS,5,FALSE)</f>
        <v>0</v>
      </c>
      <c r="I11" s="1">
        <f>VLOOKUP(I8,[0]!CVARS,5,FALSE)</f>
        <v>0</v>
      </c>
      <c r="J11" s="1">
        <f>VLOOKUP(J8,[0]!CVARS,5,FALSE)</f>
        <v>0</v>
      </c>
      <c r="K11" s="1">
        <f>VLOOKUP(K8,[0]!CVARS,5,FALSE)</f>
        <v>4240.09</v>
      </c>
    </row>
    <row r="12" spans="2:11" ht="12.75">
      <c r="B12" s="44" t="s">
        <v>211</v>
      </c>
      <c r="C12" s="1">
        <f>VLOOKUP(C8,[0]!CVARS,6,FALSE)</f>
        <v>3774.97</v>
      </c>
      <c r="D12" s="1">
        <f>VLOOKUP(D8,[0]!CVARS,6,FALSE)</f>
        <v>0</v>
      </c>
      <c r="E12" s="1">
        <f>VLOOKUP(E8,[0]!CVARS,6,FALSE)</f>
        <v>676.05</v>
      </c>
      <c r="F12" s="1">
        <f>VLOOKUP(F8,[0]!CVARS,6,FALSE)</f>
        <v>0</v>
      </c>
      <c r="G12" s="1">
        <f>VLOOKUP(G8,[0]!CVARS,6,FALSE)</f>
        <v>0</v>
      </c>
      <c r="H12" s="1">
        <f>VLOOKUP(H8,[0]!CVARS,6,FALSE)</f>
        <v>321.73</v>
      </c>
      <c r="I12" s="1">
        <f>VLOOKUP(I8,[0]!CVARS,6,FALSE)</f>
        <v>0</v>
      </c>
      <c r="J12" s="1">
        <f>VLOOKUP(J8,[0]!CVARS,6,FALSE)</f>
        <v>0</v>
      </c>
      <c r="K12" s="1">
        <f>VLOOKUP(K8,[0]!CVARS,6,FALSE)</f>
        <v>4772.75</v>
      </c>
    </row>
    <row r="13" spans="2:11" ht="12.75">
      <c r="B13" s="44" t="s">
        <v>14</v>
      </c>
      <c r="C13" s="1">
        <f>VLOOKUP(C8,[0]!CVARS,7,FALSE)</f>
        <v>3621.18</v>
      </c>
      <c r="D13" s="1">
        <f>VLOOKUP(D8,[0]!CVARS,7,FALSE)</f>
        <v>0</v>
      </c>
      <c r="E13" s="1">
        <f>VLOOKUP(E8,[0]!CVARS,7,FALSE)</f>
        <v>605.26</v>
      </c>
      <c r="F13" s="1">
        <f>VLOOKUP(F8,[0]!CVARS,7,FALSE)</f>
        <v>0</v>
      </c>
      <c r="G13" s="1">
        <f>VLOOKUP(G8,[0]!CVARS,7,FALSE)</f>
        <v>0</v>
      </c>
      <c r="H13" s="1">
        <f>VLOOKUP(H8,[0]!CVARS,7,FALSE)</f>
        <v>1055.68</v>
      </c>
      <c r="I13" s="1">
        <f>VLOOKUP(I8,[0]!CVARS,7,FALSE)</f>
        <v>0</v>
      </c>
      <c r="J13" s="1">
        <f>VLOOKUP(J8,[0]!CVARS,7,FALSE)</f>
        <v>0</v>
      </c>
      <c r="K13" s="1">
        <f>VLOOKUP(K8,[0]!CVARS,7,FALSE)</f>
        <v>5282.12</v>
      </c>
    </row>
    <row r="14" spans="2:11" ht="12.75">
      <c r="B14" s="44" t="s">
        <v>141</v>
      </c>
      <c r="C14" s="4">
        <f aca="true" t="shared" si="1" ref="C14:K14">SUM(C10:C13)</f>
        <v>14334.88</v>
      </c>
      <c r="D14" s="4">
        <f t="shared" si="1"/>
        <v>0</v>
      </c>
      <c r="E14" s="4">
        <f t="shared" si="1"/>
        <v>2594.64</v>
      </c>
      <c r="F14" s="4">
        <f t="shared" si="1"/>
        <v>0</v>
      </c>
      <c r="G14" s="4">
        <f t="shared" si="1"/>
        <v>0</v>
      </c>
      <c r="H14" s="4">
        <f t="shared" si="1"/>
        <v>1377.41</v>
      </c>
      <c r="I14" s="4">
        <f t="shared" si="1"/>
        <v>0</v>
      </c>
      <c r="J14" s="4">
        <f t="shared" si="1"/>
        <v>0</v>
      </c>
      <c r="K14" s="4">
        <f t="shared" si="1"/>
        <v>18306.93</v>
      </c>
    </row>
    <row r="16" spans="2:3" ht="12.75">
      <c r="B16" s="22" t="s">
        <v>142</v>
      </c>
      <c r="C16" s="22"/>
    </row>
    <row r="17" ht="13.5" customHeight="1"/>
    <row r="18" ht="12.75">
      <c r="B18" s="71" t="s">
        <v>169</v>
      </c>
    </row>
    <row r="19" ht="12.75" customHeight="1"/>
    <row r="20" spans="2:11" ht="12.75" customHeight="1">
      <c r="B20" s="93" t="s">
        <v>123</v>
      </c>
      <c r="C20" s="93"/>
      <c r="D20" s="31" t="s">
        <v>201</v>
      </c>
      <c r="E20" s="31"/>
      <c r="F20" s="31"/>
      <c r="G20" s="31"/>
      <c r="H20" s="31"/>
      <c r="I20" s="31"/>
      <c r="J20" s="31"/>
      <c r="K20" s="24"/>
    </row>
    <row r="21" spans="3:11" ht="12.75">
      <c r="C21" s="49"/>
      <c r="D21" s="11"/>
      <c r="E21" s="11"/>
      <c r="F21" s="11"/>
      <c r="G21" s="11"/>
      <c r="H21" s="11"/>
      <c r="I21" s="11"/>
      <c r="J21" s="11"/>
      <c r="K21" s="11"/>
    </row>
    <row r="22" ht="12.75">
      <c r="B22" s="69"/>
    </row>
    <row r="23" spans="2:3" ht="12.75">
      <c r="B23" s="30"/>
      <c r="C23" s="33"/>
    </row>
  </sheetData>
  <sheetProtection sheet="1" objects="1" scenarios="1"/>
  <mergeCells count="1">
    <mergeCell ref="B20:C20"/>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
    </sheetView>
  </sheetViews>
  <sheetFormatPr defaultColWidth="9.421875" defaultRowHeight="12.75"/>
  <cols>
    <col min="1" max="1" width="9.7109375" style="0" bestFit="1" customWidth="1"/>
    <col min="2" max="2" width="80.00390625" style="59" bestFit="1" customWidth="1"/>
    <col min="3" max="7" width="8.421875" style="0" bestFit="1" customWidth="1"/>
  </cols>
  <sheetData>
    <row r="1" spans="1:7" ht="12.75">
      <c r="A1" s="55"/>
      <c r="B1" s="64"/>
      <c r="C1" s="55"/>
      <c r="D1" s="39" t="s">
        <v>76</v>
      </c>
      <c r="E1" s="39" t="s">
        <v>140</v>
      </c>
      <c r="F1" s="39" t="s">
        <v>211</v>
      </c>
      <c r="G1" s="39" t="s">
        <v>14</v>
      </c>
    </row>
    <row r="2" spans="1:7" ht="12.75">
      <c r="A2" s="65" t="s">
        <v>171</v>
      </c>
      <c r="B2" s="73" t="s">
        <v>172</v>
      </c>
      <c r="C2" s="61" t="s">
        <v>139</v>
      </c>
      <c r="D2" s="38" t="s">
        <v>194</v>
      </c>
      <c r="E2" s="38" t="str">
        <f>[0]!THISYEAR</f>
        <v>2018/19</v>
      </c>
      <c r="F2" s="38" t="str">
        <f>[0]!THISYEAR</f>
        <v>2018/19</v>
      </c>
      <c r="G2" s="38" t="str">
        <f>[0]!THISYEAR</f>
        <v>2018/19</v>
      </c>
    </row>
    <row r="3" spans="1:7" ht="12.75">
      <c r="A3" t="s">
        <v>186</v>
      </c>
      <c r="B3" s="59" t="s">
        <v>175</v>
      </c>
      <c r="D3">
        <v>3970.33</v>
      </c>
      <c r="E3">
        <v>3840.15</v>
      </c>
      <c r="F3">
        <v>3501.12</v>
      </c>
      <c r="G3">
        <v>3633.98</v>
      </c>
    </row>
    <row r="4" spans="1:7" ht="12.75">
      <c r="A4" t="s">
        <v>241</v>
      </c>
      <c r="B4" s="59" t="s">
        <v>243</v>
      </c>
      <c r="D4">
        <v>0</v>
      </c>
      <c r="E4">
        <v>0</v>
      </c>
      <c r="F4">
        <v>0</v>
      </c>
      <c r="G4">
        <v>0</v>
      </c>
    </row>
    <row r="5" spans="1:7" ht="12.75">
      <c r="A5" t="s">
        <v>111</v>
      </c>
      <c r="B5" s="59" t="s">
        <v>37</v>
      </c>
      <c r="D5">
        <v>0</v>
      </c>
      <c r="E5">
        <v>0</v>
      </c>
      <c r="F5">
        <v>0</v>
      </c>
      <c r="G5">
        <v>0</v>
      </c>
    </row>
    <row r="6" spans="1:7" ht="12.75">
      <c r="A6" t="s">
        <v>187</v>
      </c>
      <c r="B6" s="59" t="s">
        <v>156</v>
      </c>
      <c r="D6">
        <v>0</v>
      </c>
      <c r="E6">
        <v>0</v>
      </c>
      <c r="F6">
        <v>0</v>
      </c>
      <c r="G6">
        <v>0</v>
      </c>
    </row>
    <row r="7" spans="1:7" ht="12.75">
      <c r="A7" t="s">
        <v>240</v>
      </c>
      <c r="B7" s="59" t="s">
        <v>59</v>
      </c>
      <c r="D7">
        <v>0</v>
      </c>
      <c r="E7">
        <v>0</v>
      </c>
      <c r="F7">
        <v>0</v>
      </c>
      <c r="G7">
        <v>0</v>
      </c>
    </row>
    <row r="8" spans="1:7" ht="12.75">
      <c r="A8" t="s">
        <v>48</v>
      </c>
      <c r="B8" s="59" t="s">
        <v>51</v>
      </c>
      <c r="D8">
        <v>211.05</v>
      </c>
      <c r="E8">
        <v>247.24</v>
      </c>
      <c r="F8">
        <v>278.22</v>
      </c>
      <c r="G8">
        <v>382.17</v>
      </c>
    </row>
    <row r="9" spans="1:7" ht="12.75">
      <c r="A9" t="s">
        <v>15</v>
      </c>
      <c r="B9" s="59" t="s">
        <v>157</v>
      </c>
      <c r="D9">
        <v>24.34</v>
      </c>
      <c r="E9">
        <v>48.79</v>
      </c>
      <c r="F9">
        <v>0</v>
      </c>
      <c r="G9">
        <v>0</v>
      </c>
    </row>
    <row r="10" spans="1:7" ht="12.75">
      <c r="A10" t="s">
        <v>83</v>
      </c>
      <c r="B10" s="59" t="s">
        <v>176</v>
      </c>
      <c r="D10">
        <v>4168.98</v>
      </c>
      <c r="E10">
        <v>3954.78</v>
      </c>
      <c r="F10">
        <v>4149.07</v>
      </c>
      <c r="G10">
        <v>4208.52</v>
      </c>
    </row>
    <row r="11" spans="1:7" ht="12.75">
      <c r="A11" t="s">
        <v>146</v>
      </c>
      <c r="B11" s="59" t="s">
        <v>7</v>
      </c>
      <c r="D11">
        <v>562.3</v>
      </c>
      <c r="E11">
        <v>431.36</v>
      </c>
      <c r="F11">
        <v>484.95</v>
      </c>
      <c r="G11">
        <v>224.02</v>
      </c>
    </row>
    <row r="12" spans="1:7" ht="12.75">
      <c r="A12" t="s">
        <v>16</v>
      </c>
      <c r="B12" s="59" t="s">
        <v>158</v>
      </c>
      <c r="D12">
        <v>3427.2</v>
      </c>
      <c r="E12">
        <v>3010.88</v>
      </c>
      <c r="F12">
        <v>2529.26</v>
      </c>
      <c r="G12">
        <v>1877.1</v>
      </c>
    </row>
    <row r="13" spans="1:7" ht="12.75">
      <c r="A13" t="s">
        <v>82</v>
      </c>
      <c r="B13" s="59" t="s">
        <v>130</v>
      </c>
      <c r="D13">
        <v>0</v>
      </c>
      <c r="E13">
        <v>0</v>
      </c>
      <c r="F13">
        <v>0</v>
      </c>
      <c r="G13">
        <v>0</v>
      </c>
    </row>
    <row r="14" spans="1:7" ht="12.75">
      <c r="A14" t="s">
        <v>147</v>
      </c>
      <c r="B14" s="59" t="s">
        <v>38</v>
      </c>
      <c r="D14">
        <v>0</v>
      </c>
      <c r="E14">
        <v>0</v>
      </c>
      <c r="F14">
        <v>0</v>
      </c>
      <c r="G14">
        <v>0</v>
      </c>
    </row>
    <row r="15" spans="1:7" ht="12.75">
      <c r="A15" t="s">
        <v>213</v>
      </c>
      <c r="B15" s="59" t="s">
        <v>21</v>
      </c>
      <c r="D15">
        <v>0</v>
      </c>
      <c r="E15">
        <v>0</v>
      </c>
      <c r="F15">
        <v>0</v>
      </c>
      <c r="G15">
        <v>0</v>
      </c>
    </row>
    <row r="16" spans="1:7" ht="12.75">
      <c r="A16" t="s">
        <v>22</v>
      </c>
      <c r="B16" s="59" t="s">
        <v>8</v>
      </c>
      <c r="D16">
        <v>0</v>
      </c>
      <c r="E16">
        <v>0</v>
      </c>
      <c r="F16">
        <v>0</v>
      </c>
      <c r="G16">
        <v>0</v>
      </c>
    </row>
    <row r="17" spans="1:7" ht="12.75">
      <c r="A17" t="s">
        <v>17</v>
      </c>
      <c r="B17" s="59" t="s">
        <v>60</v>
      </c>
      <c r="D17">
        <v>4.23</v>
      </c>
      <c r="E17">
        <v>0</v>
      </c>
      <c r="F17">
        <v>0</v>
      </c>
      <c r="G17">
        <v>0</v>
      </c>
    </row>
    <row r="18" spans="1:7" ht="12.75">
      <c r="A18" t="s">
        <v>87</v>
      </c>
      <c r="B18" s="59" t="s">
        <v>39</v>
      </c>
      <c r="D18">
        <v>4609.64</v>
      </c>
      <c r="E18">
        <v>4121.28</v>
      </c>
      <c r="F18">
        <v>4620.88</v>
      </c>
      <c r="G18">
        <v>4426.38</v>
      </c>
    </row>
    <row r="19" spans="1:7" ht="12.75">
      <c r="A19" t="s">
        <v>159</v>
      </c>
      <c r="B19" s="59" t="s">
        <v>40</v>
      </c>
      <c r="D19">
        <v>0</v>
      </c>
      <c r="E19">
        <v>0</v>
      </c>
      <c r="F19">
        <v>13.14</v>
      </c>
      <c r="G19">
        <v>6.16</v>
      </c>
    </row>
    <row r="20" spans="1:7" ht="12.75">
      <c r="A20" t="s">
        <v>229</v>
      </c>
      <c r="B20" s="59" t="s">
        <v>244</v>
      </c>
      <c r="D20">
        <v>0</v>
      </c>
      <c r="E20">
        <v>0</v>
      </c>
      <c r="F20">
        <v>0</v>
      </c>
      <c r="G20">
        <v>0</v>
      </c>
    </row>
    <row r="21" spans="1:7" ht="12.75">
      <c r="A21" t="s">
        <v>41</v>
      </c>
      <c r="B21" s="59" t="s">
        <v>245</v>
      </c>
      <c r="D21">
        <v>201.39</v>
      </c>
      <c r="E21">
        <v>246.24</v>
      </c>
      <c r="F21">
        <v>273.97</v>
      </c>
      <c r="G21">
        <v>382.17</v>
      </c>
    </row>
    <row r="22" spans="1:7" ht="12.75">
      <c r="A22" t="s">
        <v>102</v>
      </c>
      <c r="B22" s="59" t="s">
        <v>160</v>
      </c>
      <c r="D22">
        <v>0</v>
      </c>
      <c r="E22">
        <v>20.93</v>
      </c>
      <c r="F22">
        <v>0</v>
      </c>
      <c r="G22">
        <v>0</v>
      </c>
    </row>
    <row r="23" spans="1:7" ht="12.75">
      <c r="A23" t="s">
        <v>220</v>
      </c>
      <c r="B23" s="59" t="s">
        <v>202</v>
      </c>
      <c r="D23">
        <v>9.66</v>
      </c>
      <c r="E23">
        <v>1</v>
      </c>
      <c r="F23">
        <v>4.25</v>
      </c>
      <c r="G23">
        <v>0</v>
      </c>
    </row>
    <row r="24" spans="1:7" ht="12.75">
      <c r="A24" t="s">
        <v>221</v>
      </c>
      <c r="B24" s="59" t="s">
        <v>61</v>
      </c>
      <c r="D24">
        <v>0</v>
      </c>
      <c r="E24">
        <v>0</v>
      </c>
      <c r="F24">
        <v>0</v>
      </c>
      <c r="G24">
        <v>0</v>
      </c>
    </row>
    <row r="25" spans="1:7" ht="12.75">
      <c r="A25" t="s">
        <v>33</v>
      </c>
      <c r="B25" s="59" t="s">
        <v>230</v>
      </c>
      <c r="D25">
        <v>0</v>
      </c>
      <c r="E25">
        <v>0</v>
      </c>
      <c r="F25">
        <v>0</v>
      </c>
      <c r="G25">
        <v>0</v>
      </c>
    </row>
    <row r="26" spans="1:7" ht="12.75">
      <c r="A26" t="s">
        <v>148</v>
      </c>
      <c r="B26" s="59" t="s">
        <v>117</v>
      </c>
      <c r="D26">
        <v>53.78</v>
      </c>
      <c r="E26">
        <v>46.18</v>
      </c>
      <c r="F26">
        <v>75.06</v>
      </c>
      <c r="G26">
        <v>47.1</v>
      </c>
    </row>
    <row r="27" spans="1:7" ht="12.75">
      <c r="A27" t="s">
        <v>214</v>
      </c>
      <c r="B27" s="59" t="s">
        <v>131</v>
      </c>
      <c r="D27">
        <v>2275</v>
      </c>
      <c r="E27">
        <v>2156.78</v>
      </c>
      <c r="F27">
        <v>2091.08</v>
      </c>
      <c r="G27">
        <v>1900.67</v>
      </c>
    </row>
    <row r="28" spans="1:7" ht="12.75">
      <c r="A28" t="s">
        <v>81</v>
      </c>
      <c r="B28" s="59" t="s">
        <v>203</v>
      </c>
      <c r="D28">
        <v>179.9</v>
      </c>
      <c r="E28">
        <v>160.87</v>
      </c>
      <c r="F28">
        <v>166.18</v>
      </c>
      <c r="G28">
        <v>183.71</v>
      </c>
    </row>
    <row r="29" spans="1:7" ht="12.75">
      <c r="A29" t="s">
        <v>145</v>
      </c>
      <c r="B29" s="59" t="s">
        <v>246</v>
      </c>
      <c r="D29">
        <v>0</v>
      </c>
      <c r="E29">
        <v>0</v>
      </c>
      <c r="F29">
        <v>0</v>
      </c>
      <c r="G29">
        <v>0</v>
      </c>
    </row>
    <row r="30" spans="1:7" ht="12.75">
      <c r="A30" t="s">
        <v>212</v>
      </c>
      <c r="B30" s="59" t="s">
        <v>204</v>
      </c>
      <c r="D30">
        <v>932.76</v>
      </c>
      <c r="E30">
        <v>965.98</v>
      </c>
      <c r="F30">
        <v>419.18</v>
      </c>
      <c r="G30">
        <v>576.32</v>
      </c>
    </row>
    <row r="31" spans="1:7" ht="12.75">
      <c r="A31" t="s">
        <v>32</v>
      </c>
      <c r="B31" s="59" t="s">
        <v>52</v>
      </c>
      <c r="D31">
        <v>0</v>
      </c>
      <c r="E31">
        <v>0</v>
      </c>
      <c r="F31">
        <v>0</v>
      </c>
      <c r="G31">
        <v>0</v>
      </c>
    </row>
    <row r="32" spans="1:7" ht="12.75">
      <c r="A32" t="s">
        <v>103</v>
      </c>
      <c r="B32" s="59" t="s">
        <v>23</v>
      </c>
      <c r="D32">
        <v>0</v>
      </c>
      <c r="E32">
        <v>0</v>
      </c>
      <c r="F32">
        <v>0</v>
      </c>
      <c r="G32">
        <v>0</v>
      </c>
    </row>
    <row r="33" spans="1:7" ht="12.75">
      <c r="A33" t="s">
        <v>177</v>
      </c>
      <c r="B33" s="59" t="s">
        <v>247</v>
      </c>
      <c r="D33">
        <v>2858.31</v>
      </c>
      <c r="E33">
        <v>2544.29</v>
      </c>
      <c r="F33">
        <v>1915.51</v>
      </c>
      <c r="G33">
        <v>2013.3</v>
      </c>
    </row>
    <row r="34" spans="1:7" ht="12.75">
      <c r="A34" t="s">
        <v>231</v>
      </c>
      <c r="B34" s="59" t="s">
        <v>178</v>
      </c>
      <c r="D34">
        <v>1998.54</v>
      </c>
      <c r="E34">
        <v>1844.75</v>
      </c>
      <c r="F34">
        <v>1672.2</v>
      </c>
      <c r="G34">
        <v>1793.04</v>
      </c>
    </row>
    <row r="35" spans="1:7" ht="12.75">
      <c r="A35" t="s">
        <v>30</v>
      </c>
      <c r="B35" s="59" t="s">
        <v>88</v>
      </c>
      <c r="D35">
        <v>172.98</v>
      </c>
      <c r="E35">
        <v>83.51</v>
      </c>
      <c r="F35">
        <v>143.77</v>
      </c>
      <c r="G35">
        <v>116.32</v>
      </c>
    </row>
    <row r="36" spans="1:7" ht="12.75">
      <c r="A36" t="s">
        <v>104</v>
      </c>
      <c r="B36" s="59" t="s">
        <v>89</v>
      </c>
      <c r="D36">
        <v>0</v>
      </c>
      <c r="E36">
        <v>0</v>
      </c>
      <c r="F36">
        <v>0</v>
      </c>
      <c r="G36">
        <v>0</v>
      </c>
    </row>
    <row r="37" spans="1:7" ht="12.75">
      <c r="A37" t="s">
        <v>179</v>
      </c>
      <c r="B37" s="59" t="s">
        <v>62</v>
      </c>
      <c r="D37">
        <v>0</v>
      </c>
      <c r="E37">
        <v>0</v>
      </c>
      <c r="F37">
        <v>0</v>
      </c>
      <c r="G37">
        <v>0</v>
      </c>
    </row>
    <row r="38" spans="1:7" ht="12.75">
      <c r="A38" t="s">
        <v>24</v>
      </c>
      <c r="B38" s="59" t="s">
        <v>63</v>
      </c>
      <c r="D38">
        <v>0</v>
      </c>
      <c r="E38">
        <v>0</v>
      </c>
      <c r="F38">
        <v>0</v>
      </c>
      <c r="G38">
        <v>0</v>
      </c>
    </row>
    <row r="39" spans="1:7" ht="12.75">
      <c r="A39" t="s">
        <v>99</v>
      </c>
      <c r="B39" s="59" t="s">
        <v>64</v>
      </c>
      <c r="D39">
        <v>45.28</v>
      </c>
      <c r="E39">
        <v>45.61</v>
      </c>
      <c r="F39">
        <v>55.92</v>
      </c>
      <c r="G39">
        <v>59.84</v>
      </c>
    </row>
    <row r="40" spans="1:7" ht="12.75">
      <c r="A40" t="s">
        <v>170</v>
      </c>
      <c r="B40" s="59" t="s">
        <v>42</v>
      </c>
      <c r="D40">
        <v>0</v>
      </c>
      <c r="E40">
        <v>0</v>
      </c>
      <c r="F40">
        <v>0</v>
      </c>
      <c r="G40">
        <v>0</v>
      </c>
    </row>
    <row r="41" spans="1:7" ht="12.75">
      <c r="A41" t="s">
        <v>227</v>
      </c>
      <c r="B41" s="59" t="s">
        <v>180</v>
      </c>
      <c r="D41">
        <v>0</v>
      </c>
      <c r="E41">
        <v>0</v>
      </c>
      <c r="F41">
        <v>84.04</v>
      </c>
      <c r="G41">
        <v>0</v>
      </c>
    </row>
    <row r="42" spans="1:7" ht="12.75">
      <c r="A42" t="s">
        <v>31</v>
      </c>
      <c r="B42" s="59" t="s">
        <v>190</v>
      </c>
      <c r="D42">
        <v>0</v>
      </c>
      <c r="E42">
        <v>0</v>
      </c>
      <c r="F42">
        <v>0</v>
      </c>
      <c r="G42">
        <v>0</v>
      </c>
    </row>
    <row r="43" spans="1:7" ht="12.75">
      <c r="A43" t="s">
        <v>100</v>
      </c>
      <c r="B43" s="59" t="s">
        <v>248</v>
      </c>
      <c r="D43">
        <v>19.7</v>
      </c>
      <c r="E43">
        <v>18.36</v>
      </c>
      <c r="F43">
        <v>17.64</v>
      </c>
      <c r="G43">
        <v>5.4</v>
      </c>
    </row>
    <row r="44" spans="1:7" ht="12.75">
      <c r="A44" t="s">
        <v>181</v>
      </c>
      <c r="B44" s="59" t="s">
        <v>65</v>
      </c>
      <c r="D44">
        <v>0</v>
      </c>
      <c r="E44">
        <v>0</v>
      </c>
      <c r="F44">
        <v>0</v>
      </c>
      <c r="G44">
        <v>0</v>
      </c>
    </row>
    <row r="45" spans="1:7" ht="12.75">
      <c r="A45" t="s">
        <v>232</v>
      </c>
      <c r="B45" s="59" t="s">
        <v>132</v>
      </c>
      <c r="D45">
        <v>0</v>
      </c>
      <c r="E45">
        <v>0</v>
      </c>
      <c r="F45">
        <v>326.96</v>
      </c>
      <c r="G45">
        <v>1072.84</v>
      </c>
    </row>
    <row r="46" spans="1:7" ht="12.75">
      <c r="A46" t="s">
        <v>43</v>
      </c>
      <c r="B46" s="59" t="s">
        <v>161</v>
      </c>
      <c r="D46">
        <v>0</v>
      </c>
      <c r="E46">
        <v>0</v>
      </c>
      <c r="F46">
        <v>0</v>
      </c>
      <c r="G46">
        <v>0</v>
      </c>
    </row>
    <row r="47" spans="1:7" ht="12.75">
      <c r="A47" t="s">
        <v>105</v>
      </c>
      <c r="B47" s="59" t="s">
        <v>249</v>
      </c>
      <c r="D47">
        <v>0</v>
      </c>
      <c r="E47">
        <v>0.72</v>
      </c>
      <c r="F47">
        <v>84.58</v>
      </c>
      <c r="G47">
        <v>4.33</v>
      </c>
    </row>
    <row r="48" spans="1:7" ht="12.75">
      <c r="A48" t="s">
        <v>233</v>
      </c>
      <c r="B48" s="59" t="s">
        <v>66</v>
      </c>
      <c r="D48">
        <v>0</v>
      </c>
      <c r="E48">
        <v>0</v>
      </c>
      <c r="F48">
        <v>0</v>
      </c>
      <c r="G48">
        <v>0</v>
      </c>
    </row>
    <row r="49" spans="1:7" ht="12.75">
      <c r="A49" t="s">
        <v>44</v>
      </c>
      <c r="B49" s="59" t="s">
        <v>133</v>
      </c>
      <c r="D49">
        <v>0</v>
      </c>
      <c r="E49">
        <v>0</v>
      </c>
      <c r="F49">
        <v>0</v>
      </c>
      <c r="G49">
        <v>0</v>
      </c>
    </row>
    <row r="50" spans="1:7" ht="12.75">
      <c r="A50" t="s">
        <v>106</v>
      </c>
      <c r="B50" s="59" t="s">
        <v>222</v>
      </c>
      <c r="D50">
        <v>0</v>
      </c>
      <c r="E50">
        <v>0</v>
      </c>
      <c r="F50">
        <v>0</v>
      </c>
      <c r="G50">
        <v>0</v>
      </c>
    </row>
    <row r="51" spans="1:7" ht="12.75">
      <c r="A51" t="s">
        <v>173</v>
      </c>
      <c r="B51" s="59" t="s">
        <v>90</v>
      </c>
      <c r="D51">
        <v>0</v>
      </c>
      <c r="E51">
        <v>0</v>
      </c>
      <c r="F51">
        <v>0</v>
      </c>
      <c r="G51">
        <v>0</v>
      </c>
    </row>
    <row r="52" spans="1:7" ht="12.75">
      <c r="A52" t="s">
        <v>174</v>
      </c>
      <c r="B52" s="59" t="s">
        <v>9</v>
      </c>
      <c r="D52">
        <v>0</v>
      </c>
      <c r="E52">
        <v>0</v>
      </c>
      <c r="F52">
        <v>0</v>
      </c>
      <c r="G52">
        <v>0</v>
      </c>
    </row>
    <row r="53" spans="1:7" ht="12.75">
      <c r="A53" t="s">
        <v>228</v>
      </c>
      <c r="B53" s="59" t="s">
        <v>162</v>
      </c>
      <c r="D53">
        <v>0</v>
      </c>
      <c r="E53">
        <v>0</v>
      </c>
      <c r="F53">
        <v>0</v>
      </c>
      <c r="G53">
        <v>0</v>
      </c>
    </row>
    <row r="54" spans="1:7" ht="25.5">
      <c r="A54" t="s">
        <v>205</v>
      </c>
      <c r="B54" s="59" t="s">
        <v>206</v>
      </c>
      <c r="D54">
        <v>190.98</v>
      </c>
      <c r="E54">
        <v>328.83</v>
      </c>
      <c r="F54">
        <v>337.69</v>
      </c>
      <c r="G54">
        <v>213.09</v>
      </c>
    </row>
    <row r="55" spans="1:7" ht="12.75">
      <c r="A55" t="s">
        <v>67</v>
      </c>
      <c r="B55" s="59" t="s">
        <v>250</v>
      </c>
      <c r="D55">
        <v>0</v>
      </c>
      <c r="E55">
        <v>0</v>
      </c>
      <c r="F55">
        <v>0</v>
      </c>
      <c r="G55">
        <v>0</v>
      </c>
    </row>
    <row r="56" spans="1:2" ht="12.75">
      <c r="A56" t="s">
        <v>207</v>
      </c>
      <c r="B56" s="59" t="s">
        <v>251</v>
      </c>
    </row>
    <row r="57" spans="1:7" ht="12.75">
      <c r="A57" t="s">
        <v>10</v>
      </c>
      <c r="B57" s="59" t="s">
        <v>25</v>
      </c>
      <c r="D57">
        <v>0</v>
      </c>
      <c r="E57">
        <v>0</v>
      </c>
      <c r="F57">
        <v>0</v>
      </c>
      <c r="G57">
        <v>0</v>
      </c>
    </row>
    <row r="58" spans="1:7" ht="12.75">
      <c r="A58" t="s">
        <v>195</v>
      </c>
      <c r="B58" s="59" t="s">
        <v>91</v>
      </c>
      <c r="D58">
        <v>3457.05</v>
      </c>
      <c r="E58">
        <v>3038.7</v>
      </c>
      <c r="F58">
        <v>2586.68</v>
      </c>
      <c r="G58">
        <v>1918.8</v>
      </c>
    </row>
    <row r="59" spans="1:7" ht="12.75">
      <c r="A59" t="s">
        <v>1</v>
      </c>
      <c r="B59" s="59" t="s">
        <v>53</v>
      </c>
      <c r="D59">
        <v>12150.31</v>
      </c>
      <c r="E59">
        <v>11266.64</v>
      </c>
      <c r="F59">
        <v>10725.97</v>
      </c>
      <c r="G59">
        <v>9941.26</v>
      </c>
    </row>
    <row r="60" spans="1:7" ht="12.75">
      <c r="A60" t="s">
        <v>68</v>
      </c>
      <c r="B60" s="59" t="s">
        <v>134</v>
      </c>
      <c r="D60">
        <v>971.96</v>
      </c>
      <c r="E60">
        <v>1060.05</v>
      </c>
      <c r="F60">
        <v>455.08</v>
      </c>
      <c r="G60">
        <v>693.17</v>
      </c>
    </row>
    <row r="61" spans="1:7" ht="12.75">
      <c r="A61" t="s">
        <v>135</v>
      </c>
      <c r="B61" s="59" t="s">
        <v>191</v>
      </c>
      <c r="D61">
        <v>1144.94</v>
      </c>
      <c r="E61">
        <v>1143.56</v>
      </c>
      <c r="F61">
        <v>598.85</v>
      </c>
      <c r="G61">
        <v>809.49</v>
      </c>
    </row>
    <row r="62" spans="1:7" ht="12.75">
      <c r="A62" t="s">
        <v>208</v>
      </c>
      <c r="B62" s="59" t="s">
        <v>163</v>
      </c>
      <c r="D62">
        <v>29.36</v>
      </c>
      <c r="E62">
        <v>40.29</v>
      </c>
      <c r="F62">
        <v>35.03</v>
      </c>
      <c r="G62">
        <v>11.56</v>
      </c>
    </row>
    <row r="63" spans="1:7" ht="12.75">
      <c r="A63" t="s">
        <v>11</v>
      </c>
      <c r="B63" s="59" t="s">
        <v>26</v>
      </c>
      <c r="D63">
        <v>13295.25</v>
      </c>
      <c r="E63">
        <v>12410.2</v>
      </c>
      <c r="F63">
        <v>11324.82</v>
      </c>
      <c r="G63">
        <v>10750.75</v>
      </c>
    </row>
    <row r="64" spans="1:7" ht="12.75">
      <c r="A64" t="s">
        <v>69</v>
      </c>
      <c r="B64" s="59" t="s">
        <v>70</v>
      </c>
      <c r="D64">
        <v>5002.01</v>
      </c>
      <c r="E64">
        <v>4695.63</v>
      </c>
      <c r="F64">
        <v>5474.92</v>
      </c>
      <c r="G64">
        <v>6090.15</v>
      </c>
    </row>
    <row r="65" spans="1:7" ht="12.75">
      <c r="A65" t="s">
        <v>223</v>
      </c>
      <c r="B65" s="59" t="s">
        <v>164</v>
      </c>
      <c r="D65">
        <v>0</v>
      </c>
      <c r="E65">
        <v>0</v>
      </c>
      <c r="F65">
        <v>0</v>
      </c>
      <c r="G65">
        <v>0</v>
      </c>
    </row>
    <row r="66" spans="1:7" ht="12.75">
      <c r="A66" t="s">
        <v>71</v>
      </c>
      <c r="B66" s="59" t="s">
        <v>107</v>
      </c>
      <c r="D66">
        <v>41208</v>
      </c>
      <c r="E66">
        <v>41208</v>
      </c>
      <c r="F66">
        <v>41208</v>
      </c>
      <c r="G66">
        <v>41208</v>
      </c>
    </row>
    <row r="67" spans="1:7" ht="12.75">
      <c r="A67" t="s">
        <v>136</v>
      </c>
      <c r="B67" s="59" t="s">
        <v>252</v>
      </c>
      <c r="D67">
        <v>2858.31</v>
      </c>
      <c r="E67">
        <v>2544.29</v>
      </c>
      <c r="F67">
        <v>1915.51</v>
      </c>
      <c r="G67">
        <v>2013.3</v>
      </c>
    </row>
    <row r="68" spans="1:7" ht="12.75">
      <c r="A68" t="s">
        <v>209</v>
      </c>
      <c r="B68" s="59" t="s">
        <v>253</v>
      </c>
      <c r="D68">
        <v>4856.85</v>
      </c>
      <c r="E68">
        <v>4389.04</v>
      </c>
      <c r="F68">
        <v>3587.71</v>
      </c>
      <c r="G68">
        <v>3806.34</v>
      </c>
    </row>
    <row r="69" spans="1:7" ht="12.75">
      <c r="A69" t="s">
        <v>125</v>
      </c>
      <c r="B69" s="59" t="s">
        <v>72</v>
      </c>
      <c r="D69">
        <v>3784.2</v>
      </c>
      <c r="E69">
        <v>3642.19</v>
      </c>
      <c r="F69">
        <v>3308.92</v>
      </c>
      <c r="G69">
        <v>3253</v>
      </c>
    </row>
    <row r="70" spans="1:7" ht="12.75">
      <c r="A70" t="s">
        <v>217</v>
      </c>
      <c r="B70" s="59" t="s">
        <v>182</v>
      </c>
      <c r="D70">
        <v>134.62</v>
      </c>
      <c r="E70">
        <v>115.26</v>
      </c>
      <c r="F70">
        <v>110.26</v>
      </c>
      <c r="G70">
        <v>123.87</v>
      </c>
    </row>
    <row r="71" spans="1:7" ht="12.75">
      <c r="A71" t="s">
        <v>18</v>
      </c>
      <c r="B71" s="59" t="s">
        <v>183</v>
      </c>
      <c r="D71">
        <v>13295.25</v>
      </c>
      <c r="E71">
        <v>12410.2</v>
      </c>
      <c r="F71">
        <v>11324.82</v>
      </c>
      <c r="G71">
        <v>10750.75</v>
      </c>
    </row>
    <row r="72" spans="1:7" ht="12.75">
      <c r="A72" t="s">
        <v>92</v>
      </c>
      <c r="B72" s="59" t="s">
        <v>118</v>
      </c>
      <c r="D72">
        <v>29.36</v>
      </c>
      <c r="E72">
        <v>40.29</v>
      </c>
      <c r="F72">
        <v>35.03</v>
      </c>
      <c r="G72">
        <v>11.56</v>
      </c>
    </row>
    <row r="73" spans="1:7" ht="12.75">
      <c r="A73" t="s">
        <v>165</v>
      </c>
      <c r="B73" s="59" t="s">
        <v>224</v>
      </c>
      <c r="C73">
        <v>221.14</v>
      </c>
      <c r="D73">
        <v>35.04</v>
      </c>
      <c r="E73">
        <v>38.44</v>
      </c>
      <c r="F73">
        <v>37.06</v>
      </c>
      <c r="G73">
        <v>48.67</v>
      </c>
    </row>
    <row r="74" spans="1:7" ht="12.75">
      <c r="A74" t="s">
        <v>12</v>
      </c>
      <c r="B74" s="59" t="s">
        <v>108</v>
      </c>
      <c r="C74">
        <v>20147.16</v>
      </c>
      <c r="D74">
        <v>5659.42</v>
      </c>
      <c r="E74">
        <v>5046.41</v>
      </c>
      <c r="F74">
        <v>4195.18</v>
      </c>
      <c r="G74">
        <v>4238.73</v>
      </c>
    </row>
    <row r="75" spans="1:7" ht="12.75">
      <c r="A75" t="s">
        <v>73</v>
      </c>
      <c r="B75" s="59" t="s">
        <v>234</v>
      </c>
      <c r="C75">
        <v>11160.5</v>
      </c>
      <c r="D75">
        <v>3457.05</v>
      </c>
      <c r="E75">
        <v>3035.28</v>
      </c>
      <c r="F75">
        <v>2581.45</v>
      </c>
      <c r="G75">
        <v>1904.94</v>
      </c>
    </row>
    <row r="76" spans="1:7" ht="12.75">
      <c r="A76" t="s">
        <v>124</v>
      </c>
      <c r="B76" s="59" t="s">
        <v>54</v>
      </c>
      <c r="C76">
        <v>0</v>
      </c>
      <c r="D76">
        <v>0</v>
      </c>
      <c r="E76">
        <v>0</v>
      </c>
      <c r="F76">
        <v>0</v>
      </c>
      <c r="G76">
        <v>0</v>
      </c>
    </row>
    <row r="77" spans="1:7" ht="12.75">
      <c r="A77" t="s">
        <v>210</v>
      </c>
      <c r="B77" s="59" t="s">
        <v>184</v>
      </c>
      <c r="C77">
        <v>0</v>
      </c>
      <c r="D77">
        <v>0</v>
      </c>
      <c r="E77">
        <v>0</v>
      </c>
      <c r="F77">
        <v>0</v>
      </c>
      <c r="G77">
        <v>0</v>
      </c>
    </row>
    <row r="78" spans="1:7" ht="12.75">
      <c r="A78" t="s">
        <v>13</v>
      </c>
      <c r="B78" s="59" t="s">
        <v>254</v>
      </c>
      <c r="C78">
        <v>0</v>
      </c>
      <c r="D78">
        <v>0</v>
      </c>
      <c r="E78">
        <v>0</v>
      </c>
      <c r="F78">
        <v>0</v>
      </c>
      <c r="G78">
        <v>0</v>
      </c>
    </row>
    <row r="79" spans="1:7" ht="12.75">
      <c r="A79" t="s">
        <v>74</v>
      </c>
      <c r="B79" s="59" t="s">
        <v>109</v>
      </c>
      <c r="C79">
        <v>0</v>
      </c>
      <c r="D79">
        <v>0</v>
      </c>
      <c r="E79">
        <v>0</v>
      </c>
      <c r="F79">
        <v>0</v>
      </c>
      <c r="G79">
        <v>0</v>
      </c>
    </row>
    <row r="80" spans="1:7" ht="12.75">
      <c r="A80" t="s">
        <v>126</v>
      </c>
      <c r="B80" s="59" t="s">
        <v>137</v>
      </c>
      <c r="C80">
        <v>5.44</v>
      </c>
      <c r="D80">
        <v>0.58</v>
      </c>
      <c r="E80">
        <v>0.49</v>
      </c>
      <c r="F80">
        <v>1.98</v>
      </c>
      <c r="G80">
        <v>1.19</v>
      </c>
    </row>
    <row r="81" spans="1:7" ht="12.75">
      <c r="A81" t="s">
        <v>196</v>
      </c>
      <c r="B81" s="59" t="s">
        <v>235</v>
      </c>
      <c r="C81">
        <v>56.95</v>
      </c>
      <c r="D81">
        <v>39.2</v>
      </c>
      <c r="E81">
        <v>94.07</v>
      </c>
      <c r="F81">
        <v>35.9</v>
      </c>
      <c r="G81">
        <v>116.85</v>
      </c>
    </row>
    <row r="82" spans="1:7" ht="12.75">
      <c r="A82" t="s">
        <v>2</v>
      </c>
      <c r="B82" s="59" t="s">
        <v>119</v>
      </c>
      <c r="C82">
        <v>0</v>
      </c>
      <c r="D82">
        <v>0</v>
      </c>
      <c r="E82">
        <v>0</v>
      </c>
      <c r="F82">
        <v>0</v>
      </c>
      <c r="G82">
        <v>0</v>
      </c>
    </row>
    <row r="83" spans="1:7" ht="12.75">
      <c r="A83" t="s">
        <v>75</v>
      </c>
      <c r="B83" s="59" t="s">
        <v>138</v>
      </c>
      <c r="C83">
        <v>0</v>
      </c>
      <c r="D83">
        <v>0</v>
      </c>
      <c r="E83">
        <v>0</v>
      </c>
      <c r="F83">
        <v>0</v>
      </c>
      <c r="G83">
        <v>0</v>
      </c>
    </row>
    <row r="84" spans="1:7" ht="12.75">
      <c r="A84" t="s">
        <v>153</v>
      </c>
      <c r="B84" s="59" t="s">
        <v>93</v>
      </c>
      <c r="C84">
        <v>0</v>
      </c>
      <c r="D84">
        <v>0</v>
      </c>
      <c r="E84">
        <v>0</v>
      </c>
      <c r="F84">
        <v>0</v>
      </c>
      <c r="G84">
        <v>0</v>
      </c>
    </row>
    <row r="85" spans="1:7" ht="12.75">
      <c r="A85" t="s">
        <v>218</v>
      </c>
      <c r="B85" s="59" t="s">
        <v>120</v>
      </c>
      <c r="C85">
        <v>0</v>
      </c>
      <c r="D85">
        <v>0</v>
      </c>
      <c r="E85">
        <v>0</v>
      </c>
      <c r="F85">
        <v>0</v>
      </c>
      <c r="G85">
        <v>0</v>
      </c>
    </row>
    <row r="86" spans="1:7" ht="12.75">
      <c r="A86" t="s">
        <v>57</v>
      </c>
      <c r="B86" s="59" t="s">
        <v>236</v>
      </c>
      <c r="C86">
        <v>13.4</v>
      </c>
      <c r="D86">
        <v>0</v>
      </c>
      <c r="E86">
        <v>0</v>
      </c>
      <c r="F86">
        <v>13.14</v>
      </c>
      <c r="G86">
        <v>6.16</v>
      </c>
    </row>
    <row r="87" spans="1:7" ht="12.75">
      <c r="A87" t="s">
        <v>127</v>
      </c>
      <c r="B87" s="59" t="s">
        <v>192</v>
      </c>
      <c r="C87">
        <v>0</v>
      </c>
      <c r="D87">
        <v>0</v>
      </c>
      <c r="E87">
        <v>0</v>
      </c>
      <c r="F87">
        <v>0</v>
      </c>
      <c r="G87">
        <v>0</v>
      </c>
    </row>
    <row r="88" spans="1:7" ht="12.75">
      <c r="A88" t="s">
        <v>198</v>
      </c>
      <c r="B88" s="59" t="s">
        <v>166</v>
      </c>
      <c r="C88">
        <v>131.78</v>
      </c>
      <c r="D88">
        <v>33.86</v>
      </c>
      <c r="E88">
        <v>41.88</v>
      </c>
      <c r="F88">
        <v>36.98</v>
      </c>
      <c r="G88">
        <v>5.66</v>
      </c>
    </row>
    <row r="89" spans="1:7" ht="12.75">
      <c r="A89" t="s">
        <v>4</v>
      </c>
      <c r="B89" s="59" t="s">
        <v>94</v>
      </c>
      <c r="C89">
        <v>0</v>
      </c>
      <c r="D89">
        <v>0</v>
      </c>
      <c r="E89">
        <v>0</v>
      </c>
      <c r="F89">
        <v>0</v>
      </c>
      <c r="G89">
        <v>4.33</v>
      </c>
    </row>
    <row r="90" spans="1:7" ht="12.75">
      <c r="A90" t="s">
        <v>58</v>
      </c>
      <c r="B90" s="59" t="s">
        <v>237</v>
      </c>
      <c r="C90">
        <v>0</v>
      </c>
      <c r="D90">
        <v>0</v>
      </c>
      <c r="E90">
        <v>0</v>
      </c>
      <c r="F90">
        <v>0</v>
      </c>
      <c r="G90">
        <v>0</v>
      </c>
    </row>
    <row r="91" spans="1:7" ht="12.75">
      <c r="A91" t="s">
        <v>128</v>
      </c>
      <c r="B91" s="59" t="s">
        <v>27</v>
      </c>
      <c r="C91">
        <v>43.27</v>
      </c>
      <c r="D91">
        <v>14.3</v>
      </c>
      <c r="E91">
        <v>4.31</v>
      </c>
      <c r="F91">
        <v>7.22</v>
      </c>
      <c r="G91">
        <v>0.06</v>
      </c>
    </row>
    <row r="92" spans="1:7" ht="25.5">
      <c r="A92" t="s">
        <v>199</v>
      </c>
      <c r="B92" s="59" t="s">
        <v>95</v>
      </c>
      <c r="C92">
        <v>14127.96</v>
      </c>
      <c r="D92">
        <v>3630.85</v>
      </c>
      <c r="E92">
        <v>3307.88</v>
      </c>
      <c r="F92">
        <v>3774.97</v>
      </c>
      <c r="G92">
        <v>3621.18</v>
      </c>
    </row>
    <row r="93" spans="1:7" ht="25.5">
      <c r="A93" t="s">
        <v>19</v>
      </c>
      <c r="B93" s="59" t="s">
        <v>225</v>
      </c>
      <c r="C93">
        <v>0</v>
      </c>
      <c r="D93">
        <v>0</v>
      </c>
      <c r="E93">
        <v>0</v>
      </c>
      <c r="F93">
        <v>0</v>
      </c>
      <c r="G93">
        <v>0</v>
      </c>
    </row>
    <row r="94" spans="1:7" ht="25.5">
      <c r="A94" t="s">
        <v>85</v>
      </c>
      <c r="B94" s="59" t="s">
        <v>167</v>
      </c>
      <c r="C94">
        <v>1662.26</v>
      </c>
      <c r="D94">
        <v>381.12</v>
      </c>
      <c r="E94">
        <v>932.21</v>
      </c>
      <c r="F94">
        <v>676.05</v>
      </c>
      <c r="G94">
        <v>605.26</v>
      </c>
    </row>
    <row r="95" spans="1:7" ht="25.5">
      <c r="A95" t="s">
        <v>154</v>
      </c>
      <c r="B95" s="59" t="s">
        <v>45</v>
      </c>
      <c r="C95">
        <v>0</v>
      </c>
      <c r="D95">
        <v>0</v>
      </c>
      <c r="E95">
        <v>0</v>
      </c>
      <c r="F95">
        <v>0</v>
      </c>
      <c r="G95">
        <v>0</v>
      </c>
    </row>
    <row r="96" spans="1:7" ht="12.75">
      <c r="A96" t="s">
        <v>84</v>
      </c>
      <c r="B96" s="59" t="s">
        <v>28</v>
      </c>
      <c r="D96">
        <v>48.16</v>
      </c>
      <c r="E96">
        <v>46.19</v>
      </c>
      <c r="F96">
        <v>57.34</v>
      </c>
      <c r="G96">
        <v>16.21</v>
      </c>
    </row>
    <row r="97" spans="1:7" ht="25.5">
      <c r="A97" t="s">
        <v>200</v>
      </c>
      <c r="B97" s="59" t="s">
        <v>255</v>
      </c>
      <c r="C97">
        <v>0</v>
      </c>
      <c r="D97">
        <v>0</v>
      </c>
      <c r="E97">
        <v>0</v>
      </c>
      <c r="F97">
        <v>0</v>
      </c>
      <c r="G97">
        <v>0</v>
      </c>
    </row>
    <row r="98" spans="1:7" ht="25.5">
      <c r="A98" t="s">
        <v>20</v>
      </c>
      <c r="B98" s="59" t="s">
        <v>193</v>
      </c>
      <c r="C98">
        <v>0</v>
      </c>
      <c r="D98">
        <v>0</v>
      </c>
      <c r="E98">
        <v>0</v>
      </c>
      <c r="F98">
        <v>321.73</v>
      </c>
      <c r="G98">
        <v>1055.68</v>
      </c>
    </row>
    <row r="99" spans="1:7" ht="25.5">
      <c r="A99" t="s">
        <v>86</v>
      </c>
      <c r="B99" s="59" t="s">
        <v>96</v>
      </c>
      <c r="C99">
        <v>0</v>
      </c>
      <c r="D99">
        <v>0</v>
      </c>
      <c r="E99">
        <v>0</v>
      </c>
      <c r="F99">
        <v>0</v>
      </c>
      <c r="G99">
        <v>0</v>
      </c>
    </row>
    <row r="100" spans="1:7" ht="25.5">
      <c r="A100" t="s">
        <v>155</v>
      </c>
      <c r="B100" s="59" t="s">
        <v>110</v>
      </c>
      <c r="C100">
        <v>0</v>
      </c>
      <c r="D100">
        <v>0</v>
      </c>
      <c r="E100">
        <v>0</v>
      </c>
      <c r="F100">
        <v>0</v>
      </c>
      <c r="G100">
        <v>0</v>
      </c>
    </row>
    <row r="101" spans="1:7" ht="12.75">
      <c r="A101" t="s">
        <v>219</v>
      </c>
      <c r="B101" s="59" t="s">
        <v>226</v>
      </c>
      <c r="D101">
        <v>4011.97</v>
      </c>
      <c r="E101">
        <v>4240.09</v>
      </c>
      <c r="F101">
        <v>4772.75</v>
      </c>
      <c r="G101">
        <v>5282.12</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Touhig, Carl</dc:creator>
  <cp:keywords/>
  <dc:description/>
  <cp:lastModifiedBy>Touhig, Carl</cp:lastModifiedBy>
  <dcterms:created xsi:type="dcterms:W3CDTF">2020-08-20T09:40:21Z</dcterms:created>
  <dcterms:modified xsi:type="dcterms:W3CDTF">2020-08-20T09:40:21Z</dcterms:modified>
  <cp:category/>
  <cp:version/>
  <cp:contentType/>
  <cp:contentStatus/>
</cp:coreProperties>
</file>